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8214784-CABC-488E-9D6A-C071C47F9B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ver" sheetId="2" r:id="rId1"/>
    <sheet name="Model" sheetId="3" r:id="rId2"/>
    <sheet name="Dashboard" sheetId="5" r:id="rId3"/>
    <sheet name="Model-R" sheetId="4" state="veryHidden" r:id="rId4"/>
  </sheets>
  <externalReferences>
    <externalReference r:id="rId5"/>
  </externalReference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Cover!$B$1:$O$39</definedName>
    <definedName name="_xlnm.Print_Area" localSheetId="1">Model!$B$3:$K$25,Model!$B$28:$K$47,Model!$B$50:$K$85,Model!$B$88:$K$121,Model!$B$124:$K$147,Model!$B$150:$K$178,Model!$B$181:$K$226</definedName>
    <definedName name="_xlnm.Print_Area" localSheetId="3">'Model-R'!$B$3:$K$28,'Model-R'!$B$31:$K$52,'Model-R'!$B$55:$K$85,'Model-R'!$B$88:$K$115,'Model-R'!$B$118:$K$153,'Model-R'!$B$156:$K$184,'Model-R'!$B$187:$K$223</definedName>
  </definedName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6" i="5" l="1"/>
  <c r="U26" i="5"/>
  <c r="V26" i="5"/>
  <c r="W26" i="5"/>
  <c r="X26" i="5"/>
  <c r="Y26" i="5"/>
  <c r="Z26" i="5"/>
  <c r="S26" i="5"/>
  <c r="T25" i="5"/>
  <c r="U25" i="5"/>
  <c r="V25" i="5"/>
  <c r="W25" i="5"/>
  <c r="X25" i="5"/>
  <c r="Y25" i="5"/>
  <c r="Z25" i="5"/>
  <c r="S25" i="5"/>
  <c r="T24" i="5"/>
  <c r="U24" i="5"/>
  <c r="V24" i="5"/>
  <c r="J28" i="5" s="1"/>
  <c r="W24" i="5"/>
  <c r="X24" i="5"/>
  <c r="Y24" i="5"/>
  <c r="Z24" i="5"/>
  <c r="S24" i="5"/>
  <c r="T23" i="5"/>
  <c r="T27" i="5" s="1"/>
  <c r="U23" i="5"/>
  <c r="U27" i="5" s="1"/>
  <c r="V23" i="5"/>
  <c r="V27" i="5" s="1"/>
  <c r="W23" i="5"/>
  <c r="W27" i="5" s="1"/>
  <c r="X23" i="5"/>
  <c r="X27" i="5" s="1"/>
  <c r="Y23" i="5"/>
  <c r="Y27" i="5" s="1"/>
  <c r="Z23" i="5"/>
  <c r="Z27" i="5" s="1"/>
  <c r="S23" i="5"/>
  <c r="S27" i="5" s="1"/>
  <c r="J26" i="5" l="1"/>
  <c r="Z20" i="5" l="1"/>
  <c r="T17" i="5"/>
  <c r="U17" i="5"/>
  <c r="V17" i="5"/>
  <c r="W17" i="5"/>
  <c r="X17" i="5"/>
  <c r="X20" i="5" s="1"/>
  <c r="Y17" i="5"/>
  <c r="Y20" i="5" s="1"/>
  <c r="Z17" i="5"/>
  <c r="T18" i="5"/>
  <c r="U18" i="5"/>
  <c r="V18" i="5"/>
  <c r="W18" i="5"/>
  <c r="X18" i="5"/>
  <c r="Y18" i="5"/>
  <c r="Z18" i="5"/>
  <c r="T19" i="5"/>
  <c r="U19" i="5"/>
  <c r="V19" i="5"/>
  <c r="W19" i="5"/>
  <c r="X19" i="5"/>
  <c r="Y19" i="5"/>
  <c r="Z19" i="5"/>
  <c r="S19" i="5"/>
  <c r="S18" i="5"/>
  <c r="S17" i="5"/>
  <c r="S20" i="5" s="1"/>
  <c r="T9" i="5"/>
  <c r="U9" i="5"/>
  <c r="V9" i="5"/>
  <c r="W9" i="5"/>
  <c r="X9" i="5"/>
  <c r="Y9" i="5"/>
  <c r="Z9" i="5"/>
  <c r="S9" i="5"/>
  <c r="S10" i="5" s="1"/>
  <c r="T12" i="5"/>
  <c r="U12" i="5"/>
  <c r="V12" i="5"/>
  <c r="W12" i="5"/>
  <c r="X12" i="5"/>
  <c r="Y12" i="5"/>
  <c r="Z12" i="5"/>
  <c r="S12" i="5"/>
  <c r="G13" i="3"/>
  <c r="H13" i="3"/>
  <c r="I13" i="3"/>
  <c r="J13" i="3"/>
  <c r="K13" i="3"/>
  <c r="T8" i="5"/>
  <c r="T10" i="5" s="1"/>
  <c r="U8" i="5"/>
  <c r="U10" i="5" s="1"/>
  <c r="V8" i="5"/>
  <c r="W8" i="5"/>
  <c r="X8" i="5"/>
  <c r="Y8" i="5"/>
  <c r="Z8" i="5"/>
  <c r="S8" i="5"/>
  <c r="W14" i="5" l="1"/>
  <c r="W13" i="5"/>
  <c r="V14" i="5"/>
  <c r="J32" i="5" s="1"/>
  <c r="V13" i="5"/>
  <c r="W20" i="5"/>
  <c r="Y14" i="5"/>
  <c r="Y13" i="5"/>
  <c r="J24" i="5"/>
  <c r="U14" i="5"/>
  <c r="U13" i="5"/>
  <c r="V20" i="5"/>
  <c r="Z14" i="5"/>
  <c r="Z13" i="5"/>
  <c r="X14" i="5"/>
  <c r="X13" i="5"/>
  <c r="T14" i="5"/>
  <c r="T13" i="5"/>
  <c r="U20" i="5"/>
  <c r="S14" i="5"/>
  <c r="S13" i="5"/>
  <c r="T20" i="5"/>
  <c r="J30" i="5" l="1"/>
  <c r="E55" i="3" l="1"/>
  <c r="F55" i="3"/>
  <c r="D55" i="3"/>
  <c r="D120" i="3"/>
  <c r="E117" i="3" s="1"/>
  <c r="E120" i="3" s="1"/>
  <c r="I114" i="3"/>
  <c r="H114" i="3"/>
  <c r="G114" i="3"/>
  <c r="G156" i="3"/>
  <c r="G22" i="3"/>
  <c r="H22" i="3"/>
  <c r="I22" i="3"/>
  <c r="J22" i="3"/>
  <c r="J158" i="3" s="1"/>
  <c r="K22" i="3"/>
  <c r="K158" i="3" s="1"/>
  <c r="G158" i="3"/>
  <c r="H158" i="3"/>
  <c r="I158" i="3"/>
  <c r="H119" i="3"/>
  <c r="G119" i="3"/>
  <c r="E118" i="3"/>
  <c r="F118" i="3"/>
  <c r="D118" i="3"/>
  <c r="D113" i="3"/>
  <c r="E112" i="3"/>
  <c r="F112" i="3"/>
  <c r="D112" i="3"/>
  <c r="E106" i="3"/>
  <c r="F106" i="3"/>
  <c r="D106" i="3"/>
  <c r="G106" i="3" s="1"/>
  <c r="F99" i="3"/>
  <c r="E99" i="3"/>
  <c r="D99" i="3"/>
  <c r="D177" i="3"/>
  <c r="E174" i="3" s="1"/>
  <c r="F171" i="3"/>
  <c r="F176" i="3" s="1"/>
  <c r="E171" i="3"/>
  <c r="E176" i="3" s="1"/>
  <c r="D171" i="3"/>
  <c r="D176" i="3" s="1"/>
  <c r="E23" i="3"/>
  <c r="E168" i="3" s="1"/>
  <c r="F166" i="3" s="1"/>
  <c r="F23" i="3"/>
  <c r="F168" i="3" s="1"/>
  <c r="D23" i="3"/>
  <c r="D168" i="3" s="1"/>
  <c r="E166" i="3" s="1"/>
  <c r="F163" i="3"/>
  <c r="F162" i="3"/>
  <c r="E162" i="3"/>
  <c r="E163" i="3" s="1"/>
  <c r="D162" i="3"/>
  <c r="D163" i="3" s="1"/>
  <c r="E22" i="3"/>
  <c r="E158" i="3" s="1"/>
  <c r="F22" i="3"/>
  <c r="F158" i="3" s="1"/>
  <c r="D22" i="3"/>
  <c r="D158" i="3" s="1"/>
  <c r="E156" i="3" s="1"/>
  <c r="F14" i="3"/>
  <c r="F160" i="3" s="1"/>
  <c r="E14" i="3"/>
  <c r="E160" i="3" s="1"/>
  <c r="D14" i="3"/>
  <c r="J14" i="3" s="1"/>
  <c r="F117" i="3" l="1"/>
  <c r="F120" i="3" s="1"/>
  <c r="J114" i="3"/>
  <c r="K114" i="3" s="1"/>
  <c r="G157" i="3"/>
  <c r="I119" i="3"/>
  <c r="J119" i="3" s="1"/>
  <c r="K119" i="3" s="1"/>
  <c r="K23" i="3"/>
  <c r="H106" i="3"/>
  <c r="I106" i="3"/>
  <c r="F167" i="3"/>
  <c r="F111" i="3" s="1"/>
  <c r="I14" i="3"/>
  <c r="H14" i="3"/>
  <c r="J23" i="3"/>
  <c r="G23" i="3"/>
  <c r="G168" i="3" s="1"/>
  <c r="I23" i="3"/>
  <c r="I168" i="3" s="1"/>
  <c r="D160" i="3"/>
  <c r="G166" i="3"/>
  <c r="H23" i="3"/>
  <c r="H168" i="3" s="1"/>
  <c r="H78" i="3" s="1"/>
  <c r="K14" i="3"/>
  <c r="G14" i="3"/>
  <c r="G160" i="3" s="1"/>
  <c r="E167" i="3"/>
  <c r="E111" i="3" s="1"/>
  <c r="E115" i="3" s="1"/>
  <c r="F156" i="3"/>
  <c r="F157" i="3" s="1"/>
  <c r="F113" i="3" s="1"/>
  <c r="E157" i="3"/>
  <c r="E113" i="3" s="1"/>
  <c r="G117" i="3" l="1"/>
  <c r="F115" i="3"/>
  <c r="I156" i="3"/>
  <c r="I157" i="3" s="1"/>
  <c r="H72" i="3"/>
  <c r="H166" i="3"/>
  <c r="H167" i="3" s="1"/>
  <c r="H111" i="3" s="1"/>
  <c r="G78" i="3"/>
  <c r="J166" i="3"/>
  <c r="I78" i="3"/>
  <c r="J106" i="3"/>
  <c r="K106" i="3" s="1"/>
  <c r="G167" i="3"/>
  <c r="G111" i="3" s="1"/>
  <c r="K168" i="3"/>
  <c r="K78" i="3" s="1"/>
  <c r="J168" i="3"/>
  <c r="J78" i="3" s="1"/>
  <c r="I166" i="3"/>
  <c r="I167" i="3" s="1"/>
  <c r="I111" i="3" s="1"/>
  <c r="H160" i="3"/>
  <c r="J156" i="3" l="1"/>
  <c r="J157" i="3" s="1"/>
  <c r="I72" i="3"/>
  <c r="J167" i="3"/>
  <c r="J111" i="3" s="1"/>
  <c r="K166" i="3"/>
  <c r="K167" i="3" s="1"/>
  <c r="K111" i="3" s="1"/>
  <c r="I113" i="3"/>
  <c r="I160" i="3"/>
  <c r="I162" i="3" s="1"/>
  <c r="I163" i="3" s="1"/>
  <c r="J72" i="3" l="1"/>
  <c r="K160" i="3"/>
  <c r="J160" i="3"/>
  <c r="J162" i="3" l="1"/>
  <c r="J163" i="3" s="1"/>
  <c r="K156" i="3"/>
  <c r="K157" i="3" s="1"/>
  <c r="J113" i="3"/>
  <c r="K113" i="3" l="1"/>
  <c r="K72" i="3"/>
  <c r="K162" i="3"/>
  <c r="K163" i="3" s="1"/>
  <c r="D98" i="3" l="1"/>
  <c r="D97" i="3"/>
  <c r="D96" i="3"/>
  <c r="E94" i="3"/>
  <c r="F94" i="3"/>
  <c r="D94" i="3"/>
  <c r="G67" i="3"/>
  <c r="H67" i="3" s="1"/>
  <c r="G70" i="3"/>
  <c r="G69" i="3"/>
  <c r="H69" i="3" s="1"/>
  <c r="G68" i="3"/>
  <c r="H68" i="3" s="1"/>
  <c r="G74" i="3"/>
  <c r="G73" i="3"/>
  <c r="H73" i="3" s="1"/>
  <c r="G61" i="3"/>
  <c r="H61" i="3" s="1"/>
  <c r="G62" i="3"/>
  <c r="G60" i="3"/>
  <c r="H60" i="3" s="1"/>
  <c r="G58" i="3"/>
  <c r="H58" i="3" s="1"/>
  <c r="I58" i="3" s="1"/>
  <c r="J58" i="3" s="1"/>
  <c r="K58" i="3" s="1"/>
  <c r="G105" i="3"/>
  <c r="G107" i="3" s="1"/>
  <c r="E18" i="3"/>
  <c r="F18" i="3"/>
  <c r="D18" i="3"/>
  <c r="F135" i="3"/>
  <c r="E19" i="3"/>
  <c r="E133" i="3" s="1"/>
  <c r="F19" i="3"/>
  <c r="F133" i="3" s="1"/>
  <c r="E20" i="3"/>
  <c r="E134" i="3" s="1"/>
  <c r="F20" i="3"/>
  <c r="E21" i="3"/>
  <c r="E135" i="3" s="1"/>
  <c r="F21" i="3"/>
  <c r="D21" i="3"/>
  <c r="D20" i="3"/>
  <c r="D19" i="3"/>
  <c r="D146" i="3"/>
  <c r="F140" i="3"/>
  <c r="E140" i="3"/>
  <c r="F139" i="3"/>
  <c r="E139" i="3"/>
  <c r="F144" i="3" s="1"/>
  <c r="F97" i="3" s="1"/>
  <c r="F138" i="3"/>
  <c r="E138" i="3"/>
  <c r="D140" i="3"/>
  <c r="D139" i="3"/>
  <c r="D138" i="3"/>
  <c r="F131" i="3"/>
  <c r="E131" i="3"/>
  <c r="F130" i="3"/>
  <c r="E130" i="3"/>
  <c r="F129" i="3"/>
  <c r="E129" i="3"/>
  <c r="D131" i="3"/>
  <c r="D130" i="3"/>
  <c r="D129" i="3"/>
  <c r="K128" i="3"/>
  <c r="J128" i="3"/>
  <c r="I128" i="3"/>
  <c r="H128" i="3"/>
  <c r="G128" i="3"/>
  <c r="F128" i="3"/>
  <c r="E128" i="3"/>
  <c r="D128" i="3"/>
  <c r="G32" i="3"/>
  <c r="E80" i="3"/>
  <c r="F80" i="3"/>
  <c r="D80" i="3"/>
  <c r="E71" i="3"/>
  <c r="E75" i="3" s="1"/>
  <c r="F71" i="3"/>
  <c r="F75" i="3" s="1"/>
  <c r="F82" i="3" s="1"/>
  <c r="D71" i="3"/>
  <c r="D75" i="3" s="1"/>
  <c r="E59" i="3"/>
  <c r="E63" i="3" s="1"/>
  <c r="F59" i="3"/>
  <c r="F63" i="3" s="1"/>
  <c r="E34" i="3"/>
  <c r="E38" i="3" s="1"/>
  <c r="E41" i="3" s="1"/>
  <c r="F34" i="3"/>
  <c r="F38" i="3" s="1"/>
  <c r="F41" i="3" s="1"/>
  <c r="D59" i="3"/>
  <c r="D63" i="3" s="1"/>
  <c r="I40" i="3"/>
  <c r="J40" i="3"/>
  <c r="K40" i="3"/>
  <c r="D34" i="3"/>
  <c r="D38" i="3" s="1"/>
  <c r="D41" i="3" s="1"/>
  <c r="E13" i="3"/>
  <c r="F13" i="3"/>
  <c r="D13" i="3"/>
  <c r="E12" i="3"/>
  <c r="F12" i="3"/>
  <c r="D12" i="3"/>
  <c r="E145" i="3" l="1"/>
  <c r="E98" i="3" s="1"/>
  <c r="E143" i="3"/>
  <c r="E96" i="3" s="1"/>
  <c r="E144" i="3"/>
  <c r="E97" i="3" s="1"/>
  <c r="H18" i="3"/>
  <c r="I18" i="3"/>
  <c r="J18" i="3"/>
  <c r="K18" i="3"/>
  <c r="G18" i="3"/>
  <c r="J12" i="3"/>
  <c r="K12" i="3"/>
  <c r="G12" i="3"/>
  <c r="H12" i="3"/>
  <c r="I12" i="3"/>
  <c r="F143" i="3"/>
  <c r="F146" i="3" s="1"/>
  <c r="J19" i="3"/>
  <c r="K19" i="3"/>
  <c r="H19" i="3"/>
  <c r="G19" i="3"/>
  <c r="G133" i="3" s="1"/>
  <c r="I19" i="3"/>
  <c r="I133" i="3" s="1"/>
  <c r="D134" i="3"/>
  <c r="H20" i="3"/>
  <c r="H134" i="3" s="1"/>
  <c r="K20" i="3"/>
  <c r="G20" i="3"/>
  <c r="G134" i="3" s="1"/>
  <c r="I20" i="3"/>
  <c r="J20" i="3"/>
  <c r="G37" i="3"/>
  <c r="G94" i="3" s="1"/>
  <c r="J21" i="3"/>
  <c r="K21" i="3"/>
  <c r="I21" i="3"/>
  <c r="I135" i="3" s="1"/>
  <c r="G21" i="3"/>
  <c r="G135" i="3" s="1"/>
  <c r="H21" i="3"/>
  <c r="D135" i="3"/>
  <c r="F145" i="3"/>
  <c r="F98" i="3" s="1"/>
  <c r="H62" i="3"/>
  <c r="I62" i="3" s="1"/>
  <c r="J62" i="3" s="1"/>
  <c r="K62" i="3" s="1"/>
  <c r="G129" i="3"/>
  <c r="F96" i="3"/>
  <c r="F134" i="3"/>
  <c r="I61" i="3"/>
  <c r="J61" i="3" s="1"/>
  <c r="K61" i="3" s="1"/>
  <c r="D133" i="3"/>
  <c r="I73" i="3"/>
  <c r="J73" i="3" s="1"/>
  <c r="K73" i="3" s="1"/>
  <c r="H105" i="3"/>
  <c r="E146" i="3"/>
  <c r="I67" i="3"/>
  <c r="J67" i="3" s="1"/>
  <c r="I69" i="3"/>
  <c r="J69" i="3"/>
  <c r="I68" i="3"/>
  <c r="J68" i="3" s="1"/>
  <c r="K68" i="3" s="1"/>
  <c r="H70" i="3"/>
  <c r="I70" i="3" s="1"/>
  <c r="H74" i="3"/>
  <c r="I60" i="3"/>
  <c r="H135" i="3"/>
  <c r="F84" i="3"/>
  <c r="E82" i="3"/>
  <c r="E84" i="3" s="1"/>
  <c r="D82" i="3"/>
  <c r="D84" i="3" s="1"/>
  <c r="D15" i="3"/>
  <c r="D44" i="3"/>
  <c r="D170" i="3" s="1"/>
  <c r="D175" i="3" s="1"/>
  <c r="D174" i="3" s="1"/>
  <c r="F44" i="3"/>
  <c r="F170" i="3" s="1"/>
  <c r="F175" i="3" s="1"/>
  <c r="F15" i="3"/>
  <c r="E15" i="3"/>
  <c r="E44" i="3"/>
  <c r="E170" i="3" s="1"/>
  <c r="E175" i="3" s="1"/>
  <c r="E177" i="3" s="1"/>
  <c r="F174" i="3" s="1"/>
  <c r="G138" i="3" l="1"/>
  <c r="G56" i="3" s="1"/>
  <c r="I105" i="3"/>
  <c r="H107" i="3"/>
  <c r="F177" i="3"/>
  <c r="G174" i="3" s="1"/>
  <c r="K69" i="3"/>
  <c r="K67" i="3"/>
  <c r="H133" i="3"/>
  <c r="J135" i="3"/>
  <c r="I134" i="3"/>
  <c r="J133" i="3"/>
  <c r="J70" i="3"/>
  <c r="I74" i="3"/>
  <c r="J74" i="3" s="1"/>
  <c r="K74" i="3" s="1"/>
  <c r="J60" i="3"/>
  <c r="K60" i="3" s="1"/>
  <c r="F93" i="3"/>
  <c r="F100" i="3" s="1"/>
  <c r="F24" i="3"/>
  <c r="D93" i="3"/>
  <c r="D100" i="3" s="1"/>
  <c r="D24" i="3"/>
  <c r="E93" i="3"/>
  <c r="E100" i="3" s="1"/>
  <c r="E24" i="3"/>
  <c r="G143" i="3" l="1"/>
  <c r="G96" i="3" s="1"/>
  <c r="J105" i="3"/>
  <c r="I107" i="3"/>
  <c r="G100" i="3"/>
  <c r="J24" i="3"/>
  <c r="K24" i="3"/>
  <c r="G24" i="3"/>
  <c r="I24" i="3"/>
  <c r="H24" i="3"/>
  <c r="K133" i="3"/>
  <c r="K135" i="3"/>
  <c r="K134" i="3"/>
  <c r="K70" i="3"/>
  <c r="K105" i="3" l="1"/>
  <c r="K107" i="3" s="1"/>
  <c r="J107" i="3"/>
  <c r="H100" i="3"/>
  <c r="J134" i="3"/>
  <c r="I100" i="3" l="1"/>
  <c r="J100" i="3" s="1"/>
  <c r="E11" i="3"/>
  <c r="F11" i="3"/>
  <c r="D11" i="3"/>
  <c r="F10" i="3"/>
  <c r="E10" i="3"/>
  <c r="G192" i="4"/>
  <c r="E5" i="4"/>
  <c r="E120" i="4"/>
  <c r="E10" i="4"/>
  <c r="F10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33" i="4"/>
  <c r="G35" i="4"/>
  <c r="D37" i="4"/>
  <c r="E37" i="4"/>
  <c r="F37" i="4"/>
  <c r="G40" i="4"/>
  <c r="H40" i="4"/>
  <c r="I40" i="4"/>
  <c r="J40" i="4"/>
  <c r="K40" i="4"/>
  <c r="D57" i="4"/>
  <c r="D72" i="4"/>
  <c r="E72" i="4"/>
  <c r="F72" i="4"/>
  <c r="H74" i="4"/>
  <c r="I74" i="4"/>
  <c r="D80" i="4"/>
  <c r="E80" i="4"/>
  <c r="F80" i="4"/>
  <c r="D90" i="4"/>
  <c r="D94" i="4"/>
  <c r="E94" i="4"/>
  <c r="F94" i="4"/>
  <c r="D96" i="4"/>
  <c r="D97" i="4"/>
  <c r="D98" i="4"/>
  <c r="D99" i="4"/>
  <c r="D104" i="4"/>
  <c r="E104" i="4"/>
  <c r="F104" i="4"/>
  <c r="D108" i="4"/>
  <c r="E108" i="4"/>
  <c r="F108" i="4"/>
  <c r="D120" i="4"/>
  <c r="D122" i="4"/>
  <c r="E122" i="4"/>
  <c r="F122" i="4"/>
  <c r="G122" i="4"/>
  <c r="H122" i="4"/>
  <c r="I122" i="4"/>
  <c r="J122" i="4"/>
  <c r="K122" i="4"/>
  <c r="D123" i="4"/>
  <c r="E123" i="4"/>
  <c r="F123" i="4"/>
  <c r="D124" i="4"/>
  <c r="E124" i="4"/>
  <c r="F124" i="4"/>
  <c r="D125" i="4"/>
  <c r="E125" i="4"/>
  <c r="F125" i="4"/>
  <c r="G127" i="4"/>
  <c r="H127" i="4"/>
  <c r="I127" i="4"/>
  <c r="J127" i="4"/>
  <c r="K127" i="4"/>
  <c r="G128" i="4"/>
  <c r="H128" i="4"/>
  <c r="I128" i="4"/>
  <c r="J128" i="4"/>
  <c r="K128" i="4"/>
  <c r="G129" i="4"/>
  <c r="H129" i="4"/>
  <c r="I129" i="4"/>
  <c r="J129" i="4"/>
  <c r="K129" i="4"/>
  <c r="G130" i="4"/>
  <c r="H130" i="4"/>
  <c r="I130" i="4"/>
  <c r="J130" i="4"/>
  <c r="K130" i="4"/>
  <c r="D133" i="4"/>
  <c r="E133" i="4"/>
  <c r="F133" i="4"/>
  <c r="D134" i="4"/>
  <c r="E134" i="4"/>
  <c r="F134" i="4"/>
  <c r="D135" i="4"/>
  <c r="E135" i="4"/>
  <c r="F135" i="4"/>
  <c r="D136" i="4"/>
  <c r="E136" i="4"/>
  <c r="F136" i="4"/>
  <c r="D143" i="4"/>
  <c r="G146" i="4"/>
  <c r="H146" i="4"/>
  <c r="I146" i="4"/>
  <c r="J146" i="4"/>
  <c r="K146" i="4"/>
  <c r="D151" i="4"/>
  <c r="E151" i="4"/>
  <c r="F151" i="4"/>
  <c r="D152" i="4"/>
  <c r="E152" i="4"/>
  <c r="F152" i="4"/>
  <c r="D153" i="4"/>
  <c r="D158" i="4"/>
  <c r="D163" i="4"/>
  <c r="G164" i="4"/>
  <c r="H164" i="4"/>
  <c r="I164" i="4"/>
  <c r="J164" i="4"/>
  <c r="K164" i="4"/>
  <c r="G166" i="4"/>
  <c r="H166" i="4"/>
  <c r="I166" i="4"/>
  <c r="J166" i="4"/>
  <c r="K166" i="4"/>
  <c r="D168" i="4"/>
  <c r="E168" i="4"/>
  <c r="F168" i="4"/>
  <c r="D173" i="4"/>
  <c r="G174" i="4"/>
  <c r="H174" i="4"/>
  <c r="I174" i="4"/>
  <c r="J174" i="4"/>
  <c r="K174" i="4"/>
  <c r="D177" i="4"/>
  <c r="E177" i="4"/>
  <c r="F177" i="4"/>
  <c r="D183" i="4"/>
  <c r="D189" i="4"/>
  <c r="D192" i="4"/>
  <c r="E192" i="4"/>
  <c r="F192" i="4"/>
  <c r="E5" i="3"/>
  <c r="E152" i="3" s="1"/>
  <c r="F147" i="4"/>
  <c r="E166" i="4"/>
  <c r="F166" i="4"/>
  <c r="D146" i="4"/>
  <c r="E146" i="4"/>
  <c r="F146" i="4"/>
  <c r="D127" i="4"/>
  <c r="E127" i="4"/>
  <c r="D128" i="4"/>
  <c r="F128" i="4"/>
  <c r="D129" i="4"/>
  <c r="E129" i="4"/>
  <c r="F129" i="4"/>
  <c r="E130" i="4"/>
  <c r="D30" i="3"/>
  <c r="D43" i="4"/>
  <c r="D52" i="3"/>
  <c r="D75" i="4"/>
  <c r="E75" i="4"/>
  <c r="F75" i="4"/>
  <c r="D90" i="3"/>
  <c r="E201" i="4"/>
  <c r="D110" i="4"/>
  <c r="D126" i="3"/>
  <c r="E145" i="4"/>
  <c r="F98" i="4"/>
  <c r="E150" i="4"/>
  <c r="D152" i="3"/>
  <c r="D157" i="3"/>
  <c r="D156" i="3" s="1"/>
  <c r="I162" i="4"/>
  <c r="J162" i="4"/>
  <c r="D169" i="4"/>
  <c r="E169" i="4"/>
  <c r="F169" i="4"/>
  <c r="D167" i="3"/>
  <c r="D166" i="3" s="1"/>
  <c r="M172" i="4" s="1"/>
  <c r="D172" i="4"/>
  <c r="G78" i="4"/>
  <c r="H78" i="4"/>
  <c r="J172" i="4"/>
  <c r="F182" i="4"/>
  <c r="F174" i="4"/>
  <c r="F141" i="4"/>
  <c r="J74" i="4"/>
  <c r="E141" i="4"/>
  <c r="M166" i="4"/>
  <c r="F201" i="4"/>
  <c r="E11" i="4"/>
  <c r="D11" i="4"/>
  <c r="M24" i="4"/>
  <c r="M25" i="4"/>
  <c r="E90" i="4"/>
  <c r="E158" i="4"/>
  <c r="E189" i="4"/>
  <c r="E33" i="4"/>
  <c r="E57" i="4"/>
  <c r="F5" i="4"/>
  <c r="F139" i="4"/>
  <c r="F164" i="4"/>
  <c r="K172" i="4"/>
  <c r="E164" i="4"/>
  <c r="D145" i="4"/>
  <c r="D130" i="4"/>
  <c r="J78" i="4"/>
  <c r="D182" i="4"/>
  <c r="G173" i="4"/>
  <c r="F96" i="4"/>
  <c r="F82" i="4"/>
  <c r="I172" i="4"/>
  <c r="I78" i="4"/>
  <c r="F145" i="4"/>
  <c r="F130" i="4"/>
  <c r="E182" i="4"/>
  <c r="I173" i="4"/>
  <c r="K74" i="4"/>
  <c r="I163" i="4"/>
  <c r="M14" i="4"/>
  <c r="D201" i="4"/>
  <c r="M23" i="4"/>
  <c r="E147" i="4"/>
  <c r="M15" i="4"/>
  <c r="D147" i="4"/>
  <c r="E180" i="4"/>
  <c r="E140" i="4"/>
  <c r="F140" i="4"/>
  <c r="E98" i="4"/>
  <c r="F163" i="4"/>
  <c r="F127" i="4"/>
  <c r="K78" i="4"/>
  <c r="M174" i="4"/>
  <c r="E172" i="4"/>
  <c r="M40" i="4"/>
  <c r="E142" i="4"/>
  <c r="E128" i="4"/>
  <c r="H172" i="4"/>
  <c r="M22" i="4"/>
  <c r="F142" i="4"/>
  <c r="F162" i="4"/>
  <c r="M127" i="4"/>
  <c r="G172" i="4"/>
  <c r="F43" i="4"/>
  <c r="F11" i="4"/>
  <c r="E174" i="4"/>
  <c r="D150" i="4"/>
  <c r="D202" i="4"/>
  <c r="E43" i="4"/>
  <c r="M26" i="4"/>
  <c r="D174" i="4"/>
  <c r="M13" i="4"/>
  <c r="M21" i="4"/>
  <c r="J163" i="4"/>
  <c r="K162" i="4"/>
  <c r="M122" i="4"/>
  <c r="G162" i="4"/>
  <c r="D166" i="4"/>
  <c r="M16" i="4"/>
  <c r="E139" i="4"/>
  <c r="I168" i="4"/>
  <c r="D164" i="4"/>
  <c r="M20" i="4"/>
  <c r="M12" i="4"/>
  <c r="J168" i="4"/>
  <c r="M128" i="4"/>
  <c r="M130" i="4"/>
  <c r="J173" i="4"/>
  <c r="K173" i="4"/>
  <c r="G5" i="4"/>
  <c r="F90" i="4"/>
  <c r="F120" i="4"/>
  <c r="F57" i="4"/>
  <c r="F33" i="4"/>
  <c r="F189" i="4"/>
  <c r="F158" i="4"/>
  <c r="E82" i="4"/>
  <c r="J109" i="4"/>
  <c r="I107" i="4"/>
  <c r="D82" i="4"/>
  <c r="E46" i="4"/>
  <c r="E193" i="4"/>
  <c r="D193" i="4"/>
  <c r="D46" i="4"/>
  <c r="J107" i="4"/>
  <c r="M129" i="4"/>
  <c r="M74" i="4"/>
  <c r="E97" i="4"/>
  <c r="F99" i="4"/>
  <c r="F97" i="4"/>
  <c r="K163" i="4"/>
  <c r="K168" i="4"/>
  <c r="E96" i="4"/>
  <c r="E143" i="4"/>
  <c r="F143" i="4"/>
  <c r="I109" i="4"/>
  <c r="H173" i="4"/>
  <c r="G145" i="4"/>
  <c r="G133" i="4"/>
  <c r="M147" i="4"/>
  <c r="M146" i="4"/>
  <c r="G107" i="4"/>
  <c r="J169" i="4"/>
  <c r="I169" i="4"/>
  <c r="E99" i="4"/>
  <c r="F172" i="4"/>
  <c r="E173" i="4"/>
  <c r="K107" i="4"/>
  <c r="F193" i="4"/>
  <c r="F46" i="4"/>
  <c r="E162" i="4"/>
  <c r="M78" i="4"/>
  <c r="H5" i="4"/>
  <c r="G120" i="4"/>
  <c r="G90" i="4"/>
  <c r="G57" i="4"/>
  <c r="G33" i="4"/>
  <c r="G189" i="4"/>
  <c r="G158" i="4"/>
  <c r="F49" i="4"/>
  <c r="F17" i="4"/>
  <c r="H107" i="4"/>
  <c r="D194" i="4"/>
  <c r="N194" i="4" s="1"/>
  <c r="E107" i="4"/>
  <c r="K109" i="4"/>
  <c r="M173" i="4"/>
  <c r="F173" i="4"/>
  <c r="F109" i="4"/>
  <c r="D17" i="4"/>
  <c r="D49" i="4"/>
  <c r="G153" i="4"/>
  <c r="G152" i="4"/>
  <c r="E49" i="4"/>
  <c r="E17" i="4"/>
  <c r="G139" i="4"/>
  <c r="G61" i="4"/>
  <c r="K169" i="4"/>
  <c r="E194" i="4"/>
  <c r="E163" i="4"/>
  <c r="I45" i="4"/>
  <c r="J45" i="4"/>
  <c r="F194" i="4"/>
  <c r="I5" i="4"/>
  <c r="H158" i="4"/>
  <c r="H90" i="4"/>
  <c r="H57" i="4"/>
  <c r="H33" i="4"/>
  <c r="H120" i="4"/>
  <c r="H189" i="4"/>
  <c r="E93" i="4"/>
  <c r="E196" i="4"/>
  <c r="E176" i="4"/>
  <c r="E27" i="4"/>
  <c r="K45" i="4"/>
  <c r="H153" i="4"/>
  <c r="H152" i="4"/>
  <c r="F93" i="4"/>
  <c r="F196" i="4"/>
  <c r="F176" i="4"/>
  <c r="F27" i="4"/>
  <c r="E110" i="4"/>
  <c r="E109" i="4"/>
  <c r="D196" i="4"/>
  <c r="D27" i="4"/>
  <c r="D176" i="4"/>
  <c r="D93" i="4"/>
  <c r="M17" i="4"/>
  <c r="G96" i="4"/>
  <c r="F107" i="4"/>
  <c r="I158" i="4"/>
  <c r="I120" i="4"/>
  <c r="I90" i="4"/>
  <c r="I33" i="4"/>
  <c r="I57" i="4"/>
  <c r="J5" i="4"/>
  <c r="I189" i="4"/>
  <c r="E181" i="4"/>
  <c r="D100" i="4"/>
  <c r="E100" i="4"/>
  <c r="D181" i="4"/>
  <c r="F110" i="4"/>
  <c r="F181" i="4"/>
  <c r="F197" i="4"/>
  <c r="M27" i="4"/>
  <c r="E197" i="4"/>
  <c r="M107" i="4"/>
  <c r="F100" i="4"/>
  <c r="D197" i="4"/>
  <c r="N197" i="4" s="1"/>
  <c r="I153" i="4"/>
  <c r="I152" i="4"/>
  <c r="J158" i="4"/>
  <c r="K5" i="4"/>
  <c r="J57" i="4"/>
  <c r="J33" i="4"/>
  <c r="J189" i="4"/>
  <c r="J120" i="4"/>
  <c r="J90" i="4"/>
  <c r="M192" i="4"/>
  <c r="O192" i="4" a="1"/>
  <c r="O192" i="4" s="1"/>
  <c r="E183" i="4"/>
  <c r="D180" i="4"/>
  <c r="D200" i="4"/>
  <c r="D113" i="4"/>
  <c r="J152" i="4"/>
  <c r="J153" i="4"/>
  <c r="E200" i="4"/>
  <c r="F200" i="4"/>
  <c r="M41" i="4"/>
  <c r="K57" i="4"/>
  <c r="K158" i="4"/>
  <c r="K33" i="4"/>
  <c r="K90" i="4"/>
  <c r="K120" i="4"/>
  <c r="K189" i="4"/>
  <c r="K152" i="4"/>
  <c r="K153" i="4"/>
  <c r="M145" i="4"/>
  <c r="F180" i="4"/>
  <c r="H104" i="4"/>
  <c r="G194" i="4"/>
  <c r="E203" i="4"/>
  <c r="D203" i="4"/>
  <c r="F203" i="4"/>
  <c r="D114" i="4"/>
  <c r="H201" i="4"/>
  <c r="D60" i="4"/>
  <c r="E112" i="4"/>
  <c r="M65" i="4"/>
  <c r="G104" i="4"/>
  <c r="F183" i="4"/>
  <c r="H194" i="4"/>
  <c r="I104" i="4"/>
  <c r="G201" i="4"/>
  <c r="I194" i="4"/>
  <c r="J104" i="4"/>
  <c r="D63" i="4"/>
  <c r="I201" i="4"/>
  <c r="E114" i="4"/>
  <c r="G180" i="4"/>
  <c r="J194" i="4"/>
  <c r="K104" i="4"/>
  <c r="M104" i="4"/>
  <c r="M103" i="4"/>
  <c r="D67" i="4"/>
  <c r="F112" i="4"/>
  <c r="E60" i="4"/>
  <c r="H197" i="4"/>
  <c r="J201" i="4"/>
  <c r="G71" i="4"/>
  <c r="G142" i="4"/>
  <c r="G197" i="4"/>
  <c r="E63" i="4"/>
  <c r="K194" i="4"/>
  <c r="M193" i="4"/>
  <c r="H71" i="4"/>
  <c r="H142" i="4"/>
  <c r="O193" i="4" a="1"/>
  <c r="O193" i="4" s="1"/>
  <c r="F114" i="4"/>
  <c r="G99" i="4"/>
  <c r="K201" i="4"/>
  <c r="M201" i="4"/>
  <c r="D84" i="4"/>
  <c r="O201" i="4" a="1"/>
  <c r="O201" i="4" s="1"/>
  <c r="I142" i="4"/>
  <c r="I71" i="4"/>
  <c r="E67" i="4"/>
  <c r="J197" i="4"/>
  <c r="I197" i="4"/>
  <c r="M196" i="4"/>
  <c r="F60" i="4"/>
  <c r="G112" i="4"/>
  <c r="O196" i="4" a="1"/>
  <c r="O196" i="4" s="1"/>
  <c r="G75" i="4"/>
  <c r="H99" i="4"/>
  <c r="M194" i="4"/>
  <c r="O194" i="4" a="1"/>
  <c r="O194" i="4" s="1"/>
  <c r="H75" i="4"/>
  <c r="K197" i="4"/>
  <c r="M197" i="4"/>
  <c r="J71" i="4"/>
  <c r="J142" i="4"/>
  <c r="F63" i="4"/>
  <c r="E84" i="4"/>
  <c r="I99" i="4"/>
  <c r="O197" i="4" a="1"/>
  <c r="O197" i="4" s="1"/>
  <c r="I75" i="4"/>
  <c r="J99" i="4"/>
  <c r="G203" i="4"/>
  <c r="K71" i="4"/>
  <c r="M71" i="4"/>
  <c r="K142" i="4"/>
  <c r="M136" i="4"/>
  <c r="O136" i="4" a="1"/>
  <c r="O136" i="4" s="1"/>
  <c r="F67" i="4"/>
  <c r="M202" i="4"/>
  <c r="H203" i="4"/>
  <c r="M142" i="4"/>
  <c r="F84" i="4"/>
  <c r="J75" i="4"/>
  <c r="M72" i="4"/>
  <c r="K99" i="4"/>
  <c r="O202" i="4" a="1"/>
  <c r="O202" i="4" s="1"/>
  <c r="I203" i="4"/>
  <c r="K75" i="4"/>
  <c r="M99" i="4"/>
  <c r="J203" i="4"/>
  <c r="M203" i="4"/>
  <c r="K203" i="4"/>
  <c r="M200" i="4"/>
  <c r="O200" i="4" a="1"/>
  <c r="O200" i="4" s="1"/>
  <c r="O203" i="4" a="1"/>
  <c r="O203" i="4" s="1"/>
  <c r="E126" i="3" l="1"/>
  <c r="F5" i="3"/>
  <c r="F30" i="3" s="1"/>
  <c r="E90" i="3"/>
  <c r="K100" i="3"/>
  <c r="E52" i="3"/>
  <c r="H11" i="3"/>
  <c r="G11" i="3"/>
  <c r="I11" i="3"/>
  <c r="J11" i="3"/>
  <c r="K11" i="3"/>
  <c r="D162" i="4"/>
  <c r="E30" i="3"/>
  <c r="N26" i="4"/>
  <c r="O26" i="4" s="1" a="1"/>
  <c r="O26" i="4" s="1"/>
  <c r="N10" i="4"/>
  <c r="N25" i="4"/>
  <c r="O25" i="4" s="1" a="1"/>
  <c r="O25" i="4" s="1"/>
  <c r="N172" i="4"/>
  <c r="O172" i="4" s="1" a="1"/>
  <c r="O172" i="4" s="1"/>
  <c r="N166" i="4"/>
  <c r="O166" i="4" s="1" a="1"/>
  <c r="O166" i="4" s="1"/>
  <c r="M10" i="4"/>
  <c r="N23" i="4"/>
  <c r="O23" i="4" s="1" a="1"/>
  <c r="O23" i="4" s="1"/>
  <c r="N21" i="4"/>
  <c r="O21" i="4" s="1" a="1"/>
  <c r="O21" i="4" s="1"/>
  <c r="N11" i="4"/>
  <c r="G41" i="4"/>
  <c r="H32" i="3"/>
  <c r="N75" i="4"/>
  <c r="N107" i="4"/>
  <c r="O107" i="4" s="1" a="1"/>
  <c r="O107" i="4" s="1"/>
  <c r="F52" i="3"/>
  <c r="F90" i="3"/>
  <c r="N146" i="4"/>
  <c r="O146" i="4" s="1" a="1"/>
  <c r="O146" i="4" s="1"/>
  <c r="F152" i="3"/>
  <c r="N20" i="4"/>
  <c r="O20" i="4" s="1" a="1"/>
  <c r="O20" i="4" s="1"/>
  <c r="H35" i="4"/>
  <c r="N40" i="4"/>
  <c r="O40" i="4" s="1" a="1"/>
  <c r="O40" i="4" s="1"/>
  <c r="N13" i="4"/>
  <c r="O13" i="4" s="1" a="1"/>
  <c r="O13" i="4" s="1"/>
  <c r="N71" i="4"/>
  <c r="O71" i="4" s="1" a="1"/>
  <c r="O71" i="4" s="1"/>
  <c r="N78" i="4"/>
  <c r="O78" i="4" s="1" a="1"/>
  <c r="O78" i="4" s="1"/>
  <c r="N201" i="4"/>
  <c r="N130" i="4"/>
  <c r="O130" i="4" s="1" a="1"/>
  <c r="O130" i="4" s="1"/>
  <c r="N174" i="4"/>
  <c r="O174" i="4" s="1" a="1"/>
  <c r="O174" i="4" s="1"/>
  <c r="N152" i="4"/>
  <c r="N122" i="4"/>
  <c r="O122" i="4" s="1" a="1"/>
  <c r="O122" i="4" s="1"/>
  <c r="N142" i="4"/>
  <c r="O142" i="4" s="1" a="1"/>
  <c r="O142" i="4" s="1"/>
  <c r="N164" i="4"/>
  <c r="N15" i="4"/>
  <c r="O15" i="4" s="1" a="1"/>
  <c r="O15" i="4" s="1"/>
  <c r="N129" i="4"/>
  <c r="O129" i="4" s="1" a="1"/>
  <c r="O129" i="4" s="1"/>
  <c r="N99" i="4"/>
  <c r="O99" i="4" s="1" a="1"/>
  <c r="O99" i="4" s="1"/>
  <c r="N27" i="4"/>
  <c r="O27" i="4" s="1" a="1"/>
  <c r="O27" i="4" s="1"/>
  <c r="N17" i="4"/>
  <c r="O17" i="4" s="1" a="1"/>
  <c r="O17" i="4" s="1"/>
  <c r="N127" i="4"/>
  <c r="O127" i="4" s="1" a="1"/>
  <c r="O127" i="4" s="1"/>
  <c r="N104" i="4"/>
  <c r="O104" i="4" s="1" a="1"/>
  <c r="O104" i="4" s="1"/>
  <c r="N203" i="4"/>
  <c r="N173" i="4"/>
  <c r="O173" i="4" s="1" a="1"/>
  <c r="O173" i="4" s="1"/>
  <c r="N128" i="4"/>
  <c r="O128" i="4" s="1" a="1"/>
  <c r="O128" i="4" s="1"/>
  <c r="N24" i="4"/>
  <c r="O24" i="4" s="1" a="1"/>
  <c r="O24" i="4" s="1"/>
  <c r="N16" i="4"/>
  <c r="O16" i="4" s="1" a="1"/>
  <c r="O16" i="4" s="1"/>
  <c r="N22" i="4"/>
  <c r="O22" i="4" s="1" a="1"/>
  <c r="O22" i="4" s="1"/>
  <c r="N14" i="4"/>
  <c r="O14" i="4" s="1" a="1"/>
  <c r="O14" i="4" s="1"/>
  <c r="N12" i="4"/>
  <c r="O12" i="4" s="1" a="1"/>
  <c r="O12" i="4" s="1"/>
  <c r="M11" i="4"/>
  <c r="G123" i="4"/>
  <c r="F126" i="3" l="1"/>
  <c r="G5" i="3"/>
  <c r="H37" i="3"/>
  <c r="H94" i="3" s="1"/>
  <c r="H129" i="3"/>
  <c r="O10" i="4" a="1"/>
  <c r="O10" i="4" s="1"/>
  <c r="O11" i="4" a="1"/>
  <c r="O11" i="4" s="1"/>
  <c r="I32" i="3"/>
  <c r="H123" i="4"/>
  <c r="I35" i="4"/>
  <c r="H41" i="4"/>
  <c r="H192" i="4"/>
  <c r="H5" i="3" l="1"/>
  <c r="G152" i="3"/>
  <c r="G90" i="3"/>
  <c r="G126" i="3"/>
  <c r="G30" i="3"/>
  <c r="G52" i="3"/>
  <c r="I37" i="3"/>
  <c r="I94" i="3" s="1"/>
  <c r="I129" i="3"/>
  <c r="H138" i="3"/>
  <c r="H145" i="4"/>
  <c r="H133" i="4"/>
  <c r="I123" i="4"/>
  <c r="J32" i="3"/>
  <c r="J35" i="4"/>
  <c r="I41" i="4"/>
  <c r="I192" i="4"/>
  <c r="H126" i="3" l="1"/>
  <c r="I5" i="3"/>
  <c r="H30" i="3"/>
  <c r="H52" i="3"/>
  <c r="H152" i="3"/>
  <c r="H90" i="3"/>
  <c r="H143" i="3"/>
  <c r="H56" i="3"/>
  <c r="H139" i="4"/>
  <c r="H61" i="4"/>
  <c r="I138" i="3"/>
  <c r="I133" i="4"/>
  <c r="I145" i="4"/>
  <c r="J129" i="3"/>
  <c r="J37" i="3"/>
  <c r="J94" i="3" s="1"/>
  <c r="J192" i="4"/>
  <c r="K35" i="4"/>
  <c r="N35" i="4" s="1"/>
  <c r="J123" i="4"/>
  <c r="J41" i="4"/>
  <c r="K32" i="3"/>
  <c r="J5" i="3" l="1"/>
  <c r="I152" i="3"/>
  <c r="I126" i="3"/>
  <c r="I52" i="3"/>
  <c r="I30" i="3"/>
  <c r="I90" i="3"/>
  <c r="I56" i="3"/>
  <c r="I61" i="4"/>
  <c r="I139" i="4"/>
  <c r="K129" i="3"/>
  <c r="K37" i="3"/>
  <c r="K94" i="3" s="1"/>
  <c r="H96" i="3"/>
  <c r="H96" i="4"/>
  <c r="J138" i="3"/>
  <c r="J145" i="4"/>
  <c r="J133" i="4"/>
  <c r="I143" i="3"/>
  <c r="M35" i="4"/>
  <c r="O35" i="4" s="1" a="1"/>
  <c r="O35" i="4" s="1"/>
  <c r="K41" i="4"/>
  <c r="N41" i="4" s="1"/>
  <c r="O41" i="4" s="1" a="1"/>
  <c r="O41" i="4" s="1"/>
  <c r="K192" i="4"/>
  <c r="N192" i="4" s="1"/>
  <c r="K123" i="4"/>
  <c r="N123" i="4" s="1"/>
  <c r="K5" i="3" l="1"/>
  <c r="J52" i="3"/>
  <c r="J126" i="3"/>
  <c r="J152" i="3"/>
  <c r="J30" i="3"/>
  <c r="J90" i="3"/>
  <c r="J56" i="3"/>
  <c r="J61" i="4"/>
  <c r="K138" i="3"/>
  <c r="K145" i="4"/>
  <c r="K133" i="4"/>
  <c r="N133" i="4" s="1"/>
  <c r="M123" i="4"/>
  <c r="O123" i="4" s="1" a="1"/>
  <c r="O123" i="4" s="1"/>
  <c r="N145" i="4"/>
  <c r="O145" i="4" s="1" a="1"/>
  <c r="O145" i="4" s="1"/>
  <c r="J139" i="4"/>
  <c r="I96" i="3"/>
  <c r="I96" i="4"/>
  <c r="J143" i="3"/>
  <c r="G147" i="4"/>
  <c r="H147" i="4"/>
  <c r="I147" i="4"/>
  <c r="J147" i="4"/>
  <c r="K147" i="4"/>
  <c r="K52" i="3" l="1"/>
  <c r="K152" i="3"/>
  <c r="K126" i="3"/>
  <c r="K30" i="3"/>
  <c r="K90" i="3"/>
  <c r="K56" i="3"/>
  <c r="M61" i="4" s="1"/>
  <c r="K61" i="4"/>
  <c r="N61" i="4" s="1"/>
  <c r="M133" i="4"/>
  <c r="O133" i="4" s="1" a="1"/>
  <c r="O133" i="4" s="1"/>
  <c r="K139" i="4"/>
  <c r="N139" i="4" s="1"/>
  <c r="J96" i="3"/>
  <c r="J96" i="4"/>
  <c r="K143" i="3"/>
  <c r="N147" i="4"/>
  <c r="O147" i="4" s="1" a="1"/>
  <c r="O147" i="4" s="1"/>
  <c r="G36" i="3"/>
  <c r="G39" i="4"/>
  <c r="H36" i="3"/>
  <c r="I36" i="3"/>
  <c r="J36" i="3"/>
  <c r="K36" i="3"/>
  <c r="H39" i="4"/>
  <c r="I39" i="4"/>
  <c r="J39" i="4"/>
  <c r="K39" i="4"/>
  <c r="O61" i="4" l="1" a="1"/>
  <c r="O61" i="4" s="1"/>
  <c r="K96" i="3"/>
  <c r="M96" i="4" s="1"/>
  <c r="K96" i="4"/>
  <c r="N96" i="4" s="1"/>
  <c r="M139" i="4"/>
  <c r="O139" i="4" s="1" a="1"/>
  <c r="O139" i="4" s="1"/>
  <c r="N39" i="4"/>
  <c r="M39" i="4"/>
  <c r="O39" i="4" s="1" a="1"/>
  <c r="O39" i="4" s="1"/>
  <c r="E153" i="4"/>
  <c r="O96" i="4" l="1" a="1"/>
  <c r="O96" i="4" s="1"/>
  <c r="F150" i="4"/>
  <c r="G150" i="4"/>
  <c r="F153" i="4"/>
  <c r="N153" i="4" s="1"/>
  <c r="G42" i="4"/>
  <c r="G94" i="4" l="1"/>
  <c r="H42" i="4"/>
  <c r="I42" i="4"/>
  <c r="J42" i="4"/>
  <c r="K42" i="4"/>
  <c r="M42" i="4"/>
  <c r="H94" i="4"/>
  <c r="I94" i="4"/>
  <c r="J94" i="4"/>
  <c r="K94" i="4"/>
  <c r="M94" i="4"/>
  <c r="M152" i="4"/>
  <c r="O152" i="4" a="1"/>
  <c r="O152" i="4" s="1"/>
  <c r="N94" i="4" l="1"/>
  <c r="O94" i="4" s="1" a="1"/>
  <c r="O94" i="4" s="1"/>
  <c r="N42" i="4"/>
  <c r="O42" i="4" s="1" a="1"/>
  <c r="O42" i="4" s="1"/>
  <c r="G65" i="4"/>
  <c r="H65" i="4"/>
  <c r="I65" i="4"/>
  <c r="J65" i="4"/>
  <c r="K65" i="4"/>
  <c r="N65" i="4"/>
  <c r="O65" i="4" s="1" a="1"/>
  <c r="O65" i="4" s="1"/>
  <c r="G103" i="4"/>
  <c r="H103" i="4"/>
  <c r="I103" i="4"/>
  <c r="J103" i="4"/>
  <c r="K103" i="4"/>
  <c r="H150" i="4"/>
  <c r="I150" i="4"/>
  <c r="J150" i="4"/>
  <c r="K150" i="4"/>
  <c r="M150" i="4"/>
  <c r="G151" i="4"/>
  <c r="H151" i="4"/>
  <c r="I151" i="4"/>
  <c r="J151" i="4"/>
  <c r="K151" i="4"/>
  <c r="M151" i="4"/>
  <c r="M153" i="4"/>
  <c r="O153" i="4" s="1" a="1"/>
  <c r="O153" i="4" s="1"/>
  <c r="N150" i="4" l="1"/>
  <c r="O150" i="4" s="1" a="1"/>
  <c r="O150" i="4" s="1"/>
  <c r="N151" i="4"/>
  <c r="O151" i="4" s="1" a="1"/>
  <c r="O151" i="4" s="1"/>
  <c r="N103" i="4"/>
  <c r="O103" i="4" s="1" a="1"/>
  <c r="O103" i="4" s="1"/>
  <c r="G33" i="3" l="1"/>
  <c r="G34" i="3" s="1"/>
  <c r="G43" i="4" s="1"/>
  <c r="G36" i="4"/>
  <c r="G130" i="3" l="1"/>
  <c r="G134" i="4" s="1"/>
  <c r="G124" i="4"/>
  <c r="G38" i="3"/>
  <c r="V10" i="5" s="1"/>
  <c r="G37" i="4"/>
  <c r="G140" i="3"/>
  <c r="G139" i="3" l="1"/>
  <c r="G62" i="4" s="1"/>
  <c r="G135" i="4"/>
  <c r="G193" i="4"/>
  <c r="G141" i="4"/>
  <c r="G70" i="4"/>
  <c r="G145" i="3"/>
  <c r="G66" i="3"/>
  <c r="G57" i="3"/>
  <c r="G144" i="3" l="1"/>
  <c r="G140" i="4"/>
  <c r="G97" i="3"/>
  <c r="G146" i="3"/>
  <c r="G143" i="4"/>
  <c r="G97" i="4"/>
  <c r="G72" i="4"/>
  <c r="G71" i="3"/>
  <c r="G98" i="3"/>
  <c r="G98" i="4"/>
  <c r="H33" i="3" l="1"/>
  <c r="H124" i="4" s="1"/>
  <c r="I33" i="3"/>
  <c r="I34" i="3" s="1"/>
  <c r="J33" i="3"/>
  <c r="J34" i="3" s="1"/>
  <c r="K33" i="3"/>
  <c r="K34" i="3" s="1"/>
  <c r="H36" i="4"/>
  <c r="I36" i="4"/>
  <c r="J36" i="4"/>
  <c r="K36" i="4"/>
  <c r="H34" i="3" l="1"/>
  <c r="H38" i="3" s="1"/>
  <c r="W10" i="5" s="1"/>
  <c r="H37" i="4"/>
  <c r="N36" i="4"/>
  <c r="J37" i="4"/>
  <c r="H193" i="4"/>
  <c r="J130" i="3"/>
  <c r="J135" i="4" s="1"/>
  <c r="H43" i="4"/>
  <c r="J124" i="4"/>
  <c r="H130" i="3"/>
  <c r="K38" i="3"/>
  <c r="Z10" i="5" s="1"/>
  <c r="K43" i="4"/>
  <c r="J38" i="3"/>
  <c r="Y10" i="5" s="1"/>
  <c r="J43" i="4"/>
  <c r="I38" i="3"/>
  <c r="X10" i="5" s="1"/>
  <c r="I43" i="4"/>
  <c r="M37" i="4"/>
  <c r="K130" i="3"/>
  <c r="K124" i="4"/>
  <c r="M36" i="4"/>
  <c r="I130" i="3"/>
  <c r="K37" i="4"/>
  <c r="I124" i="4"/>
  <c r="I37" i="4"/>
  <c r="J134" i="4" l="1"/>
  <c r="O36" i="4" a="1"/>
  <c r="O36" i="4" s="1"/>
  <c r="H140" i="3"/>
  <c r="H135" i="4"/>
  <c r="H139" i="3"/>
  <c r="H134" i="4"/>
  <c r="N37" i="4"/>
  <c r="O37" i="4" s="1" a="1"/>
  <c r="O37" i="4" s="1"/>
  <c r="J140" i="3"/>
  <c r="J139" i="3"/>
  <c r="N124" i="4"/>
  <c r="K139" i="3"/>
  <c r="K140" i="3"/>
  <c r="K134" i="4"/>
  <c r="K135" i="4"/>
  <c r="N43" i="4"/>
  <c r="O43" i="4" s="1" a="1"/>
  <c r="O43" i="4" s="1"/>
  <c r="J46" i="4"/>
  <c r="J41" i="3"/>
  <c r="J193" i="4"/>
  <c r="M124" i="4"/>
  <c r="I140" i="3"/>
  <c r="I134" i="4"/>
  <c r="I135" i="4"/>
  <c r="I139" i="3"/>
  <c r="I46" i="4"/>
  <c r="I193" i="4"/>
  <c r="I41" i="3"/>
  <c r="M43" i="4"/>
  <c r="K46" i="4"/>
  <c r="K193" i="4"/>
  <c r="K41" i="3"/>
  <c r="N135" i="4" l="1"/>
  <c r="O124" i="4" a="1"/>
  <c r="O124" i="4" s="1"/>
  <c r="J70" i="4"/>
  <c r="J66" i="3"/>
  <c r="H62" i="4"/>
  <c r="H57" i="3"/>
  <c r="H140" i="4"/>
  <c r="H144" i="3"/>
  <c r="N134" i="4"/>
  <c r="H141" i="4"/>
  <c r="H66" i="3"/>
  <c r="H70" i="4"/>
  <c r="H145" i="3"/>
  <c r="N193" i="4"/>
  <c r="J57" i="3"/>
  <c r="J62" i="4"/>
  <c r="J43" i="3"/>
  <c r="J99" i="3" s="1"/>
  <c r="J48" i="4"/>
  <c r="I57" i="3"/>
  <c r="M134" i="4"/>
  <c r="I62" i="4"/>
  <c r="J144" i="3"/>
  <c r="J140" i="4"/>
  <c r="I140" i="4"/>
  <c r="I144" i="3"/>
  <c r="I43" i="3"/>
  <c r="I99" i="3" s="1"/>
  <c r="I48" i="4"/>
  <c r="K43" i="3"/>
  <c r="K99" i="3" s="1"/>
  <c r="K48" i="4"/>
  <c r="I66" i="3"/>
  <c r="I70" i="4"/>
  <c r="I145" i="3"/>
  <c r="I141" i="4"/>
  <c r="M135" i="4"/>
  <c r="O135" i="4" s="1" a="1"/>
  <c r="O135" i="4" s="1"/>
  <c r="J141" i="4"/>
  <c r="J145" i="3"/>
  <c r="K141" i="4"/>
  <c r="K66" i="3"/>
  <c r="K145" i="3"/>
  <c r="K70" i="4"/>
  <c r="K57" i="3"/>
  <c r="K62" i="4"/>
  <c r="K140" i="4"/>
  <c r="K144" i="3"/>
  <c r="K49" i="4" l="1"/>
  <c r="J49" i="4"/>
  <c r="K44" i="3"/>
  <c r="K51" i="4" s="1"/>
  <c r="I49" i="4"/>
  <c r="I44" i="3"/>
  <c r="I46" i="3" s="1"/>
  <c r="I112" i="3" s="1"/>
  <c r="O134" i="4" a="1"/>
  <c r="O134" i="4" s="1"/>
  <c r="N141" i="4"/>
  <c r="H97" i="4"/>
  <c r="H97" i="3"/>
  <c r="H146" i="3"/>
  <c r="H143" i="4"/>
  <c r="N70" i="4"/>
  <c r="H98" i="3"/>
  <c r="H98" i="4"/>
  <c r="J71" i="3"/>
  <c r="J72" i="4"/>
  <c r="H72" i="4"/>
  <c r="H71" i="3"/>
  <c r="I98" i="4"/>
  <c r="I98" i="3"/>
  <c r="M141" i="4"/>
  <c r="O141" i="4" s="1" a="1"/>
  <c r="O141" i="4" s="1"/>
  <c r="M62" i="4"/>
  <c r="I71" i="3"/>
  <c r="I72" i="4"/>
  <c r="M70" i="4"/>
  <c r="K98" i="4"/>
  <c r="K98" i="3"/>
  <c r="J98" i="4"/>
  <c r="J98" i="3"/>
  <c r="I131" i="3"/>
  <c r="I125" i="4"/>
  <c r="K71" i="3"/>
  <c r="K72" i="4"/>
  <c r="I97" i="4"/>
  <c r="I146" i="3"/>
  <c r="I97" i="3"/>
  <c r="I143" i="4"/>
  <c r="M140" i="4"/>
  <c r="J44" i="3"/>
  <c r="K131" i="3"/>
  <c r="K136" i="4" s="1"/>
  <c r="K125" i="4"/>
  <c r="N140" i="4"/>
  <c r="N62" i="4"/>
  <c r="K143" i="4"/>
  <c r="K146" i="3"/>
  <c r="K97" i="4"/>
  <c r="K97" i="3"/>
  <c r="J131" i="3"/>
  <c r="J136" i="4" s="1"/>
  <c r="J125" i="4"/>
  <c r="J146" i="3"/>
  <c r="J97" i="4"/>
  <c r="J143" i="4"/>
  <c r="J97" i="3"/>
  <c r="K176" i="4" l="1"/>
  <c r="K93" i="3"/>
  <c r="K100" i="4" s="1"/>
  <c r="I110" i="4"/>
  <c r="I115" i="3"/>
  <c r="I202" i="4" s="1"/>
  <c r="K93" i="4"/>
  <c r="K170" i="3"/>
  <c r="K181" i="4" s="1"/>
  <c r="K196" i="4"/>
  <c r="K46" i="3"/>
  <c r="K112" i="3" s="1"/>
  <c r="I93" i="3"/>
  <c r="I101" i="3" s="1"/>
  <c r="I93" i="4"/>
  <c r="K101" i="3"/>
  <c r="O140" i="4" a="1"/>
  <c r="O140" i="4" s="1"/>
  <c r="O70" i="4" a="1"/>
  <c r="O70" i="4" s="1"/>
  <c r="I176" i="4"/>
  <c r="N72" i="4"/>
  <c r="O72" i="4" s="1" a="1"/>
  <c r="O72" i="4" s="1"/>
  <c r="I170" i="3"/>
  <c r="I175" i="3" s="1"/>
  <c r="I196" i="4"/>
  <c r="H75" i="3"/>
  <c r="O62" i="4" a="1"/>
  <c r="O62" i="4" s="1"/>
  <c r="I51" i="4"/>
  <c r="J75" i="3"/>
  <c r="M97" i="4"/>
  <c r="M143" i="4"/>
  <c r="K75" i="3"/>
  <c r="I136" i="4"/>
  <c r="I171" i="3"/>
  <c r="I108" i="4"/>
  <c r="I177" i="4"/>
  <c r="N97" i="4"/>
  <c r="M98" i="4"/>
  <c r="N98" i="4"/>
  <c r="I100" i="4"/>
  <c r="J196" i="4"/>
  <c r="J93" i="3"/>
  <c r="J101" i="3" s="1"/>
  <c r="J93" i="4"/>
  <c r="J46" i="3"/>
  <c r="J112" i="3" s="1"/>
  <c r="J51" i="4"/>
  <c r="J176" i="4"/>
  <c r="J170" i="3"/>
  <c r="I75" i="3"/>
  <c r="M75" i="4"/>
  <c r="O75" i="4" s="1" a="1"/>
  <c r="O75" i="4" s="1"/>
  <c r="N143" i="4"/>
  <c r="K175" i="3" l="1"/>
  <c r="I118" i="3"/>
  <c r="K171" i="3"/>
  <c r="K182" i="4" s="1"/>
  <c r="K177" i="4"/>
  <c r="K110" i="4"/>
  <c r="K115" i="3"/>
  <c r="K202" i="4" s="1"/>
  <c r="J110" i="4"/>
  <c r="J115" i="3"/>
  <c r="J202" i="4" s="1"/>
  <c r="K108" i="4"/>
  <c r="O97" i="4" a="1"/>
  <c r="O97" i="4" s="1"/>
  <c r="I181" i="4"/>
  <c r="O98" i="4" a="1"/>
  <c r="O98" i="4" s="1"/>
  <c r="O143" i="4" a="1"/>
  <c r="O143" i="4" s="1"/>
  <c r="J100" i="4"/>
  <c r="I113" i="4"/>
  <c r="I200" i="4"/>
  <c r="J171" i="3"/>
  <c r="J108" i="4"/>
  <c r="J177" i="4"/>
  <c r="I176" i="3"/>
  <c r="I182" i="4"/>
  <c r="J175" i="3"/>
  <c r="J181" i="4"/>
  <c r="K200" i="4"/>
  <c r="K176" i="3" l="1"/>
  <c r="K113" i="4"/>
  <c r="K118" i="3"/>
  <c r="J118" i="3"/>
  <c r="J200" i="4"/>
  <c r="J113" i="4"/>
  <c r="J176" i="3"/>
  <c r="J182" i="4"/>
  <c r="F202" i="4" l="1"/>
  <c r="F113" i="4"/>
  <c r="E113" i="4"/>
  <c r="E202" i="4"/>
  <c r="G72" i="3"/>
  <c r="G75" i="3" s="1"/>
  <c r="H156" i="3"/>
  <c r="H157" i="3" s="1"/>
  <c r="G113" i="3"/>
  <c r="G162" i="3"/>
  <c r="G163" i="3" s="1"/>
  <c r="G74" i="4"/>
  <c r="N74" i="4"/>
  <c r="O74" i="4" s="1" a="1"/>
  <c r="O74" i="4" s="1"/>
  <c r="H162" i="4"/>
  <c r="N162" i="4" s="1"/>
  <c r="G163" i="4"/>
  <c r="M164" i="4"/>
  <c r="O164" i="4" s="1" a="1"/>
  <c r="O164" i="4" s="1"/>
  <c r="G168" i="4"/>
  <c r="G169" i="4" l="1"/>
  <c r="H113" i="3"/>
  <c r="H109" i="4"/>
  <c r="H168" i="4"/>
  <c r="N168" i="4" s="1"/>
  <c r="H163" i="4"/>
  <c r="H162" i="3"/>
  <c r="N163" i="4"/>
  <c r="O162" i="4" a="1"/>
  <c r="O162" i="4" s="1"/>
  <c r="M162" i="4"/>
  <c r="G45" i="4"/>
  <c r="G109" i="4"/>
  <c r="N109" i="4" s="1"/>
  <c r="M163" i="4"/>
  <c r="M109" i="4"/>
  <c r="O109" i="4" s="1" a="1"/>
  <c r="O109" i="4" s="1"/>
  <c r="G40" i="3"/>
  <c r="O163" i="4" l="1" a="1"/>
  <c r="O163" i="4" s="1"/>
  <c r="H169" i="4"/>
  <c r="N169" i="4" s="1"/>
  <c r="M168" i="4"/>
  <c r="O168" i="4" s="1" a="1"/>
  <c r="O168" i="4" s="1"/>
  <c r="H163" i="3"/>
  <c r="G41" i="3"/>
  <c r="G46" i="4"/>
  <c r="H45" i="4" l="1"/>
  <c r="N45" i="4" s="1"/>
  <c r="H40" i="3"/>
  <c r="M169" i="4"/>
  <c r="O169" i="4" s="1" a="1"/>
  <c r="O169" i="4" s="1"/>
  <c r="G43" i="3"/>
  <c r="G49" i="4" s="1"/>
  <c r="G48" i="4"/>
  <c r="G44" i="3" l="1"/>
  <c r="G93" i="4" s="1"/>
  <c r="H46" i="4"/>
  <c r="N46" i="4" s="1"/>
  <c r="H41" i="3"/>
  <c r="M45" i="4"/>
  <c r="O45" i="4" a="1"/>
  <c r="O45" i="4" s="1"/>
  <c r="G196" i="4"/>
  <c r="G99" i="3"/>
  <c r="G131" i="3"/>
  <c r="G125" i="4"/>
  <c r="G51" i="4" l="1"/>
  <c r="G170" i="3"/>
  <c r="G46" i="3"/>
  <c r="G93" i="3"/>
  <c r="G100" i="4" s="1"/>
  <c r="G176" i="4"/>
  <c r="H43" i="3"/>
  <c r="H44" i="3" s="1"/>
  <c r="H48" i="4"/>
  <c r="N48" i="4" s="1"/>
  <c r="M46" i="4"/>
  <c r="O46" i="4" s="1" a="1"/>
  <c r="O46" i="4" s="1"/>
  <c r="G101" i="3"/>
  <c r="G175" i="3"/>
  <c r="G181" i="4"/>
  <c r="G177" i="4"/>
  <c r="G171" i="3"/>
  <c r="G112" i="3"/>
  <c r="G108" i="4"/>
  <c r="G136" i="4"/>
  <c r="N136" i="4" s="1"/>
  <c r="G200" i="4"/>
  <c r="H176" i="4" l="1"/>
  <c r="N176" i="4" s="1"/>
  <c r="H170" i="3"/>
  <c r="H93" i="4"/>
  <c r="N93" i="4" s="1"/>
  <c r="H46" i="3"/>
  <c r="H93" i="3"/>
  <c r="H51" i="4"/>
  <c r="N51" i="4" s="1"/>
  <c r="H196" i="4"/>
  <c r="N196" i="4" s="1"/>
  <c r="M49" i="4"/>
  <c r="H125" i="4"/>
  <c r="N125" i="4" s="1"/>
  <c r="H49" i="4"/>
  <c r="N49" i="4" s="1"/>
  <c r="M48" i="4"/>
  <c r="O48" i="4" s="1" a="1"/>
  <c r="O48" i="4" s="1"/>
  <c r="H131" i="3"/>
  <c r="H99" i="3"/>
  <c r="G115" i="3"/>
  <c r="G118" i="3" s="1"/>
  <c r="G120" i="3" s="1"/>
  <c r="G110" i="4"/>
  <c r="G183" i="4"/>
  <c r="G182" i="4"/>
  <c r="G176" i="3"/>
  <c r="G177" i="3" s="1"/>
  <c r="O49" i="4" l="1" a="1"/>
  <c r="O49" i="4" s="1"/>
  <c r="M100" i="4"/>
  <c r="H200" i="4"/>
  <c r="N200" i="4" s="1"/>
  <c r="H112" i="3"/>
  <c r="M51" i="4"/>
  <c r="H108" i="4"/>
  <c r="N108" i="4" s="1"/>
  <c r="O51" i="4" a="1"/>
  <c r="O51" i="4" s="1"/>
  <c r="H177" i="4"/>
  <c r="N177" i="4" s="1"/>
  <c r="H171" i="3"/>
  <c r="H181" i="4"/>
  <c r="N181" i="4" s="1"/>
  <c r="M176" i="4"/>
  <c r="O176" i="4" s="1" a="1"/>
  <c r="O176" i="4" s="1"/>
  <c r="H175" i="3"/>
  <c r="H136" i="4"/>
  <c r="M125" i="4"/>
  <c r="O125" i="4" a="1"/>
  <c r="O125" i="4" s="1"/>
  <c r="H101" i="3"/>
  <c r="M93" i="4"/>
  <c r="O93" i="4" s="1" a="1"/>
  <c r="O93" i="4" s="1"/>
  <c r="H100" i="4"/>
  <c r="N100" i="4" s="1"/>
  <c r="O100" i="4" s="1" a="1"/>
  <c r="O100" i="4" s="1"/>
  <c r="H180" i="4"/>
  <c r="G79" i="3"/>
  <c r="H174" i="3"/>
  <c r="G79" i="4"/>
  <c r="G114" i="4"/>
  <c r="G202" i="4"/>
  <c r="G113" i="4"/>
  <c r="M181" i="4" l="1"/>
  <c r="O181" i="4" s="1" a="1"/>
  <c r="O181" i="4" s="1"/>
  <c r="H110" i="4"/>
  <c r="N110" i="4" s="1"/>
  <c r="H115" i="3"/>
  <c r="M108" i="4"/>
  <c r="O108" i="4" s="1" a="1"/>
  <c r="O108" i="4" s="1"/>
  <c r="M177" i="4"/>
  <c r="O177" i="4" a="1"/>
  <c r="O177" i="4" s="1"/>
  <c r="H176" i="3"/>
  <c r="M182" i="4" s="1"/>
  <c r="H182" i="4"/>
  <c r="N182" i="4" s="1"/>
  <c r="H112" i="4"/>
  <c r="H117" i="3"/>
  <c r="G55" i="3"/>
  <c r="G60" i="4"/>
  <c r="G80" i="3"/>
  <c r="G80" i="4"/>
  <c r="O182" i="4" l="1" a="1"/>
  <c r="O182" i="4" s="1"/>
  <c r="H177" i="3"/>
  <c r="I174" i="3" s="1"/>
  <c r="H118" i="3"/>
  <c r="M113" i="4" s="1"/>
  <c r="H113" i="4"/>
  <c r="N113" i="4" s="1"/>
  <c r="H202" i="4"/>
  <c r="N202" i="4" s="1"/>
  <c r="M110" i="4"/>
  <c r="O110" i="4" s="1" a="1"/>
  <c r="O110" i="4" s="1"/>
  <c r="H183" i="4"/>
  <c r="G82" i="4"/>
  <c r="G82" i="3"/>
  <c r="G59" i="3"/>
  <c r="G63" i="4"/>
  <c r="H120" i="3" l="1"/>
  <c r="H55" i="3" s="1"/>
  <c r="H63" i="4" s="1"/>
  <c r="H79" i="4"/>
  <c r="I180" i="4"/>
  <c r="H79" i="3"/>
  <c r="H80" i="4" s="1"/>
  <c r="H114" i="4"/>
  <c r="O113" i="4" a="1"/>
  <c r="O113" i="4" s="1"/>
  <c r="I183" i="4"/>
  <c r="I177" i="3"/>
  <c r="G63" i="3"/>
  <c r="G67" i="4"/>
  <c r="H59" i="3" l="1"/>
  <c r="I112" i="4"/>
  <c r="H80" i="3"/>
  <c r="H82" i="4" s="1"/>
  <c r="H60" i="4"/>
  <c r="I117" i="3"/>
  <c r="I120" i="3" s="1"/>
  <c r="H63" i="3"/>
  <c r="H67" i="4"/>
  <c r="I79" i="4"/>
  <c r="J180" i="4"/>
  <c r="I79" i="3"/>
  <c r="J174" i="3"/>
  <c r="G84" i="4"/>
  <c r="G84" i="3"/>
  <c r="H82" i="3" l="1"/>
  <c r="I55" i="3"/>
  <c r="I114" i="4"/>
  <c r="I60" i="4"/>
  <c r="I80" i="4"/>
  <c r="I80" i="3"/>
  <c r="H84" i="4"/>
  <c r="H84" i="3"/>
  <c r="J183" i="4"/>
  <c r="J177" i="3"/>
  <c r="I59" i="3" l="1"/>
  <c r="I67" i="4" s="1"/>
  <c r="I63" i="4"/>
  <c r="J117" i="3"/>
  <c r="J120" i="3" s="1"/>
  <c r="J112" i="4"/>
  <c r="I82" i="3"/>
  <c r="I82" i="4"/>
  <c r="J79" i="4"/>
  <c r="K180" i="4"/>
  <c r="N180" i="4" s="1"/>
  <c r="J79" i="3"/>
  <c r="K174" i="3"/>
  <c r="J114" i="4" l="1"/>
  <c r="I63" i="3"/>
  <c r="I84" i="3" s="1"/>
  <c r="J55" i="3"/>
  <c r="K177" i="3"/>
  <c r="K183" i="4"/>
  <c r="N183" i="4" s="1"/>
  <c r="M180" i="4"/>
  <c r="O180" i="4" a="1"/>
  <c r="O180" i="4" s="1"/>
  <c r="J80" i="4"/>
  <c r="J80" i="3"/>
  <c r="J60" i="4"/>
  <c r="K112" i="4"/>
  <c r="N112" i="4" s="1"/>
  <c r="K117" i="3"/>
  <c r="K120" i="3" s="1"/>
  <c r="I84" i="4" l="1"/>
  <c r="J63" i="4"/>
  <c r="J59" i="3"/>
  <c r="K55" i="3"/>
  <c r="J67" i="4"/>
  <c r="J63" i="3"/>
  <c r="K114" i="4"/>
  <c r="N114" i="4" s="1"/>
  <c r="M112" i="4"/>
  <c r="O112" i="4" s="1" a="1"/>
  <c r="O112" i="4" s="1"/>
  <c r="J82" i="3"/>
  <c r="J82" i="4"/>
  <c r="K79" i="3"/>
  <c r="K79" i="4"/>
  <c r="N79" i="4" s="1"/>
  <c r="M183" i="4"/>
  <c r="O183" i="4" s="1" a="1"/>
  <c r="O183" i="4" s="1"/>
  <c r="K63" i="4" l="1"/>
  <c r="N63" i="4" s="1"/>
  <c r="K59" i="3"/>
  <c r="M60" i="4"/>
  <c r="K60" i="4"/>
  <c r="N60" i="4" s="1"/>
  <c r="O60" i="4" s="1" a="1"/>
  <c r="O60" i="4" s="1"/>
  <c r="M114" i="4"/>
  <c r="O114" i="4" s="1" a="1"/>
  <c r="O114" i="4" s="1"/>
  <c r="J84" i="4"/>
  <c r="J84" i="3"/>
  <c r="K80" i="4"/>
  <c r="N80" i="4" s="1"/>
  <c r="K80" i="3"/>
  <c r="M79" i="4"/>
  <c r="O79" i="4" s="1" a="1"/>
  <c r="O79" i="4" s="1"/>
  <c r="K63" i="3" l="1"/>
  <c r="K67" i="4"/>
  <c r="N67" i="4" s="1"/>
  <c r="M63" i="4"/>
  <c r="O63" i="4" a="1"/>
  <c r="O63" i="4" s="1"/>
  <c r="K82" i="3"/>
  <c r="K82" i="4"/>
  <c r="N82" i="4" s="1"/>
  <c r="M80" i="4"/>
  <c r="O80" i="4" a="1"/>
  <c r="O80" i="4" s="1"/>
  <c r="M67" i="4" l="1"/>
  <c r="O67" i="4" s="1" a="1"/>
  <c r="O67" i="4" s="1"/>
  <c r="K84" i="4"/>
  <c r="N84" i="4" s="1"/>
  <c r="K84" i="3"/>
  <c r="M82" i="4"/>
  <c r="O82" i="4" s="1" a="1"/>
  <c r="O82" i="4" s="1"/>
  <c r="M84" i="4" l="1"/>
  <c r="O84" i="4" s="1" a="1"/>
  <c r="O84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<sst xmlns="http://schemas.openxmlformats.org/spreadsheetml/2006/main" count="376" uniqueCount="161">
  <si>
    <t xml:space="preserve"> </t>
  </si>
  <si>
    <t>Model</t>
  </si>
  <si>
    <t>3-Statement Modeling</t>
  </si>
  <si>
    <t>Cash Flow Statement</t>
  </si>
  <si>
    <t>Income Statement</t>
  </si>
  <si>
    <t>Change in Cash</t>
  </si>
  <si>
    <t>Financing</t>
  </si>
  <si>
    <t>Investing</t>
  </si>
  <si>
    <t>Operating</t>
  </si>
  <si>
    <t>Cash Flow</t>
  </si>
  <si>
    <t>Net Income Margin</t>
  </si>
  <si>
    <t>Net Income</t>
  </si>
  <si>
    <t>EBITDA Margin</t>
  </si>
  <si>
    <t>EBITDA</t>
  </si>
  <si>
    <t>Revenue</t>
  </si>
  <si>
    <t>All figures in USD thousands unless stated</t>
  </si>
  <si>
    <t>Charts &amp; Graphs</t>
  </si>
  <si>
    <t>RE, End of Period</t>
  </si>
  <si>
    <t>Dividends</t>
  </si>
  <si>
    <t>Beginning of Period</t>
  </si>
  <si>
    <t>Retained Earnings (RE)</t>
  </si>
  <si>
    <t>Common Stock, End of Period</t>
  </si>
  <si>
    <t>Additions (Repayments)</t>
  </si>
  <si>
    <t>Common Stock and Additional Paid-In Capital</t>
  </si>
  <si>
    <t>Total Interest</t>
  </si>
  <si>
    <t>Long Term Debt Interest</t>
  </si>
  <si>
    <t>Long-Term Debt Interest (Average Debt)</t>
  </si>
  <si>
    <t/>
  </si>
  <si>
    <t>LTD, End of Period</t>
  </si>
  <si>
    <t>Long Term Debt (LTD)</t>
  </si>
  <si>
    <t>Capital Structure Schedules</t>
  </si>
  <si>
    <t>Net PP&amp;E, End of Period</t>
  </si>
  <si>
    <t>Depreciation Expense</t>
  </si>
  <si>
    <t>Capital Expenditures/Additions (Disposals)</t>
  </si>
  <si>
    <t>Property, Plant &amp; Equipment (PP&amp;E)</t>
  </si>
  <si>
    <t>Depreciation (Percent of Sales)</t>
  </si>
  <si>
    <t>(x)</t>
  </si>
  <si>
    <t>Capital Asset Turnover Ratio</t>
  </si>
  <si>
    <t>Cash from Working Capital Items</t>
  </si>
  <si>
    <t>Income Taxes Payable</t>
  </si>
  <si>
    <t>Trade and Other Payables</t>
  </si>
  <si>
    <t>Inventory</t>
  </si>
  <si>
    <t>Trade and Other Receivables</t>
  </si>
  <si>
    <t>Cash Changes from Working Capital</t>
  </si>
  <si>
    <t>Income Tax Payable</t>
  </si>
  <si>
    <t>Working Capital</t>
  </si>
  <si>
    <t>Income Tax Payable (Percent of Taxes)</t>
  </si>
  <si>
    <t>(Days)</t>
  </si>
  <si>
    <t>Taxes</t>
  </si>
  <si>
    <t>Cost of Goods Sold</t>
  </si>
  <si>
    <t>Days in Period</t>
  </si>
  <si>
    <t>Working Capital and PP&amp;E Schedule</t>
  </si>
  <si>
    <t>Cash and Equivalents, End of the Year</t>
  </si>
  <si>
    <t>Increase/(Decrease) in Cash and Equivalents</t>
  </si>
  <si>
    <t>Cash and Equivalents, Beginning of the Year</t>
  </si>
  <si>
    <t>Cash Flows from Financing Activities</t>
  </si>
  <si>
    <t>Increase/(Decrease) in Long-Term Debt</t>
  </si>
  <si>
    <t>Dividends (current year)</t>
  </si>
  <si>
    <t>Issuance of Common Stock</t>
  </si>
  <si>
    <t>Financing Activities</t>
  </si>
  <si>
    <t>Cash Flows from Investing Activities</t>
  </si>
  <si>
    <t>Acquisitions of Property and Equipment</t>
  </si>
  <si>
    <t>Investing Activities</t>
  </si>
  <si>
    <t>Cash Flows from Operating Activities</t>
  </si>
  <si>
    <t>Inventories</t>
  </si>
  <si>
    <t>Changes in Operating Assets and Liabilities:</t>
  </si>
  <si>
    <t>Depreciation</t>
  </si>
  <si>
    <t>Balance Sheet Check</t>
  </si>
  <si>
    <t>Total Liabilities &amp; Equity</t>
  </si>
  <si>
    <t>Total Shareholders' Equity</t>
  </si>
  <si>
    <t>Retained Earnings</t>
  </si>
  <si>
    <t>EQUITY</t>
  </si>
  <si>
    <t>Total Liabilities</t>
  </si>
  <si>
    <t>Long-Term Debt</t>
  </si>
  <si>
    <t>Total Current Liabilities</t>
  </si>
  <si>
    <t>LIABILITIES</t>
  </si>
  <si>
    <t>TOTAL ASSETS</t>
  </si>
  <si>
    <t>Property Plant and Equipment</t>
  </si>
  <si>
    <t>Total Current Assets</t>
  </si>
  <si>
    <t>Cash</t>
  </si>
  <si>
    <t>ASSETS</t>
  </si>
  <si>
    <t>Balance Sheet</t>
  </si>
  <si>
    <t>Common Dividends</t>
  </si>
  <si>
    <t>Earnings Before Taxes</t>
  </si>
  <si>
    <t>Interest</t>
  </si>
  <si>
    <t>EBIT (Operating Profit)</t>
  </si>
  <si>
    <t>Research and Development</t>
  </si>
  <si>
    <t>Marketing and Administration</t>
  </si>
  <si>
    <t>Distribution Expenses</t>
  </si>
  <si>
    <t>Gross Profit</t>
  </si>
  <si>
    <t>Revenues</t>
  </si>
  <si>
    <t xml:space="preserve">Dividend Payout Ratio </t>
  </si>
  <si>
    <t>Common Share Capital</t>
  </si>
  <si>
    <t>Long Term Debt</t>
  </si>
  <si>
    <t>Payable Days (COGS Basis)</t>
  </si>
  <si>
    <t>Inventory Days (COGS Basis)</t>
  </si>
  <si>
    <t>Receivable Days (Sales Basis)</t>
  </si>
  <si>
    <t>Tax Rate (Percent of EBT)</t>
  </si>
  <si>
    <t>Long-Term Debt Interest Rate (Average Debt)</t>
  </si>
  <si>
    <t>Research Expense (Percent of Sales)</t>
  </si>
  <si>
    <t>Marketing &amp; Admin Expense (Fixed Cost)</t>
  </si>
  <si>
    <t>Distribution Expense (Percent of Sales)</t>
  </si>
  <si>
    <t>Gross Margin</t>
  </si>
  <si>
    <t>Sales Growth</t>
  </si>
  <si>
    <t>Assumptions &amp; Drivers</t>
  </si>
  <si>
    <t>Compare</t>
  </si>
  <si>
    <t>Correct</t>
  </si>
  <si>
    <t>Learner</t>
  </si>
  <si>
    <t>Operating Expenses</t>
  </si>
  <si>
    <t>Depreciation &amp; Amortization</t>
  </si>
  <si>
    <t>Operating Expenses (Percent of Sales)</t>
  </si>
  <si>
    <t>Depreciation &amp; Amortization (Percent of Sales)</t>
  </si>
  <si>
    <t>Other Current Assets</t>
  </si>
  <si>
    <t>Intangible Assets</t>
  </si>
  <si>
    <t>Other Non-Current Assets</t>
  </si>
  <si>
    <t>Accounts Payable &amp; Accrued</t>
  </si>
  <si>
    <t>Short-Term Debt</t>
  </si>
  <si>
    <t>Current Portion of LT Debt</t>
  </si>
  <si>
    <t>Current Portion of Leases</t>
  </si>
  <si>
    <t>Other Current Liabilities</t>
  </si>
  <si>
    <t>Long-Term Leases</t>
  </si>
  <si>
    <t>Other Long-Term Liabilities</t>
  </si>
  <si>
    <t>Net CAPEX</t>
  </si>
  <si>
    <t>Working Capital Schedule</t>
  </si>
  <si>
    <t>Income Tax Paid</t>
  </si>
  <si>
    <t>Other Non-Cash Adjustments</t>
  </si>
  <si>
    <t>Cash Flows from Opreating Activities</t>
  </si>
  <si>
    <t>Other Investing Income</t>
  </si>
  <si>
    <t>Other Finance Costs</t>
  </si>
  <si>
    <t>Other Adjustmen &amp; FX Diffrences</t>
  </si>
  <si>
    <t>All figures in JOD thousands unless stated</t>
  </si>
  <si>
    <t>Orange Jordan</t>
  </si>
  <si>
    <t>EBT</t>
  </si>
  <si>
    <t>EBT Margin</t>
  </si>
  <si>
    <t>Charts &amp; Graphs Data</t>
  </si>
  <si>
    <t>Expenses</t>
  </si>
  <si>
    <t>Total</t>
  </si>
  <si>
    <t>Cost of Sales</t>
  </si>
  <si>
    <t>5-Yr Average</t>
  </si>
  <si>
    <t>Trend</t>
  </si>
  <si>
    <r>
      <rPr>
        <b/>
        <sz val="10"/>
        <color rgb="FF000000"/>
        <rFont val="Open Sans"/>
        <family val="2"/>
      </rPr>
      <t>Projected Performance Summary</t>
    </r>
    <r>
      <rPr>
        <sz val="10"/>
        <color rgb="FF000000"/>
        <rFont val="Open Sans"/>
        <family val="2"/>
      </rPr>
      <t xml:space="preserve"> </t>
    </r>
    <r>
      <rPr>
        <i/>
        <sz val="10"/>
        <color rgb="FF000000"/>
        <rFont val="Open Sans"/>
        <family val="2"/>
      </rPr>
      <t>(Five-Year)</t>
    </r>
  </si>
  <si>
    <t>Operating EXP</t>
  </si>
  <si>
    <t>Net Income Margin (%)</t>
  </si>
  <si>
    <t>Net Imcome Margin (%)</t>
  </si>
  <si>
    <t xml:space="preserve"> Table of Contents</t>
  </si>
  <si>
    <t>Email: aboodsabri2004@gmail.com</t>
  </si>
  <si>
    <t>Color</t>
  </si>
  <si>
    <t>Meaning</t>
  </si>
  <si>
    <t>Blue</t>
  </si>
  <si>
    <t>Hard-coded inputs</t>
  </si>
  <si>
    <t>Black</t>
  </si>
  <si>
    <t>Calculations / Formulas</t>
  </si>
  <si>
    <t xml:space="preserve"> Author Info</t>
  </si>
  <si>
    <t>Name: Abdalmalik Sabri</t>
  </si>
  <si>
    <t>Company Analyzed: Orange Jordan</t>
  </si>
  <si>
    <t>Dashboard</t>
  </si>
  <si>
    <t>This project is a 3-statement financial model</t>
  </si>
  <si>
    <r>
      <t xml:space="preserve">for </t>
    </r>
    <r>
      <rPr>
        <i/>
        <sz val="11"/>
        <color theme="1"/>
        <rFont val="Calibri"/>
        <family val="2"/>
        <scheme val="minor"/>
      </rPr>
      <t>Orange Jordan</t>
    </r>
    <r>
      <rPr>
        <sz val="11"/>
        <color theme="1"/>
        <rFont val="Calibri"/>
        <family val="2"/>
        <scheme val="minor"/>
      </rPr>
      <t xml:space="preserve"> covering actual results</t>
    </r>
  </si>
  <si>
    <t>from 2022–2024 and forecasting performance</t>
  </si>
  <si>
    <t>for the next 5 years. It includes integrated</t>
  </si>
  <si>
    <t>financial statements and a visual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</si>
</sst>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-* #,##0.00_-;\-* #,##0.00_-;_-* &quot;-&quot;??_-;_-@_-"/>
    <numFmt numFmtId="165" formatCode="_(#,##0_)_%;\(#,##0\)_%;_(&quot;–&quot;_)_%;_(@_)_%"/>
    <numFmt numFmtId="168" formatCode="[=1]&quot;☑️&quot;_);[=0]&quot;⬜&quot;_)"/>
    <numFmt numFmtId="169" formatCode="_(#,##0_);\(#,##0\);_(&quot;–&quot;_);_(@_)"/>
    <numFmt numFmtId="170" formatCode="_(#,##0.0%_);\(#,##0.0%\);_(&quot;–&quot;_);_(@_)"/>
    <numFmt numFmtId="171" formatCode="0.0%"/>
    <numFmt numFmtId="172" formatCode="_-* #,##0_-;\(#,##0\)_-;_-* &quot;-&quot;_-;_-@_-"/>
    <numFmt numFmtId="173" formatCode="&quot;Year &quot;0;&quot;Year &quot;\-0"/>
    <numFmt numFmtId="174" formatCode="_(0.00\x_);\(0.00\x\);_(&quot;–&quot;_);_(@_)"/>
    <numFmt numFmtId="175" formatCode="#,##0_);\(#,##0\);\-"/>
    <numFmt numFmtId="176" formatCode="#,##0_);[Red]\(#,##0\);\-"/>
    <numFmt numFmtId="177" formatCode="0&quot;F&quot;"/>
    <numFmt numFmtId="178" formatCode="0&quot;A&quot;"/>
    <numFmt numFmtId="179" formatCode="[Blue]#,##0;[Blue]\(#,##0\);\-"/>
    <numFmt numFmtId="180" formatCode="_-* #,##0.00_-;\(#,##0.00\)_-;_-* &quot;-&quot;_-;_-@_-"/>
    <numFmt numFmtId="181" formatCode="_(#,##0.0_);\(#,##0.0\);_(&quot;–&quot;_);_(@_)"/>
  </numFmts>
  <fonts count="45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sz val="10"/>
      <name val="Arial"/>
      <family val="2"/>
    </font>
    <font>
      <b/>
      <sz val="10"/>
      <color rgb="FFFA621C"/>
      <name val="Open Sans"/>
      <family val="2"/>
    </font>
    <font>
      <sz val="10"/>
      <name val="Open Sans"/>
      <family val="2"/>
    </font>
    <font>
      <u/>
      <sz val="11"/>
      <color theme="10"/>
      <name val="Calibri"/>
      <family val="2"/>
      <scheme val="minor"/>
    </font>
    <font>
      <sz val="11"/>
      <name val="Open Sans"/>
      <family val="2"/>
    </font>
    <font>
      <sz val="8"/>
      <color theme="1"/>
      <name val="Open Sans"/>
      <family val="2"/>
    </font>
    <font>
      <b/>
      <sz val="14"/>
      <color rgb="FF3271D2"/>
      <name val="Open Sans"/>
      <family val="2"/>
    </font>
    <font>
      <sz val="8"/>
      <color rgb="FF947131"/>
      <name val="Open Sans"/>
      <family val="2"/>
    </font>
    <font>
      <sz val="10"/>
      <color rgb="FF000000"/>
      <name val="Open Sans"/>
      <family val="2"/>
    </font>
    <font>
      <b/>
      <sz val="10"/>
      <name val="Open Sans"/>
      <family val="2"/>
    </font>
    <font>
      <sz val="10"/>
      <name val="Bookman"/>
    </font>
    <font>
      <i/>
      <sz val="10"/>
      <color rgb="FF000000"/>
      <name val="Open Sans"/>
      <family val="2"/>
    </font>
    <font>
      <i/>
      <sz val="10"/>
      <name val="Open Sans"/>
      <family val="2"/>
    </font>
    <font>
      <b/>
      <sz val="10"/>
      <color rgb="FF000000"/>
      <name val="Open Sans"/>
      <family val="2"/>
    </font>
    <font>
      <sz val="10"/>
      <name val="Bookman"/>
      <family val="1"/>
    </font>
    <font>
      <i/>
      <sz val="9"/>
      <color rgb="FF000000"/>
      <name val="Open Sans"/>
      <family val="2"/>
    </font>
    <font>
      <sz val="10"/>
      <color rgb="FFFA621C"/>
      <name val="Open Sans"/>
      <family val="2"/>
    </font>
    <font>
      <i/>
      <sz val="8"/>
      <name val="Open Sans"/>
      <family val="2"/>
    </font>
    <font>
      <sz val="10"/>
      <color rgb="FF3271D2"/>
      <name val="Open Sans"/>
      <family val="2"/>
    </font>
    <font>
      <sz val="10"/>
      <color rgb="FF0000FF"/>
      <name val="Open Sans"/>
      <family val="2"/>
    </font>
    <font>
      <b/>
      <sz val="10"/>
      <color rgb="FF947131"/>
      <name val="Open Sans"/>
      <family val="2"/>
    </font>
    <font>
      <b/>
      <sz val="10"/>
      <color rgb="FF0000FF"/>
      <name val="Open Sans"/>
      <family val="2"/>
    </font>
    <font>
      <b/>
      <sz val="10"/>
      <color rgb="FF3271D2"/>
      <name val="Open Sans"/>
      <family val="2"/>
    </font>
    <font>
      <b/>
      <i/>
      <sz val="11"/>
      <color rgb="FFFA621C"/>
      <name val="Open Sans"/>
      <family val="2"/>
    </font>
    <font>
      <b/>
      <i/>
      <sz val="11"/>
      <color theme="1"/>
      <name val="Calibri"/>
      <family val="2"/>
      <scheme val="minor"/>
    </font>
    <font>
      <b/>
      <sz val="10"/>
      <name val="Open Sans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Open Sans"/>
      <family val="2"/>
    </font>
    <font>
      <b/>
      <sz val="22"/>
      <color theme="0"/>
      <name val="Calibri"/>
      <family val="2"/>
      <scheme val="minor"/>
    </font>
    <font>
      <b/>
      <sz val="14"/>
      <color theme="1" tint="0.499984740745262"/>
      <name val="Open Sans"/>
      <family val="2"/>
    </font>
    <font>
      <b/>
      <sz val="14"/>
      <color theme="1"/>
      <name val="Open Sans"/>
      <family val="2"/>
    </font>
    <font>
      <u/>
      <sz val="12"/>
      <color theme="3" tint="0.249977111117893"/>
      <name val="Open Sans"/>
      <family val="2"/>
    </font>
    <font>
      <sz val="12"/>
      <color theme="3" tint="0.499984740745262"/>
      <name val="Open Sans"/>
      <family val="2"/>
    </font>
    <font>
      <b/>
      <sz val="20"/>
      <color theme="0" tint="-0.499984740745262"/>
      <name val="Calibri"/>
      <family val="2"/>
      <scheme val="minor"/>
    </font>
    <font>
      <b/>
      <sz val="20"/>
      <color theme="0" tint="-0.499984740745262"/>
      <name val="Open Sans"/>
      <family val="2"/>
    </font>
    <font>
      <sz val="11"/>
      <color theme="0" tint="-0.499984740745262"/>
      <name val="Calibri"/>
      <family val="2"/>
      <scheme val="minor"/>
    </font>
    <font>
      <u/>
      <sz val="14"/>
      <color rgb="FF0563C1"/>
      <name val="Open Sans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C3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theme="6"/>
      </left>
      <right/>
      <top/>
      <bottom/>
      <diagonal/>
    </border>
    <border>
      <left/>
      <right style="thick">
        <color theme="6"/>
      </right>
      <top/>
      <bottom/>
      <diagonal/>
    </border>
    <border>
      <left/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9" fontId="16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53">
    <xf numFmtId="0" fontId="0" fillId="0" borderId="0" xfId="0"/>
    <xf numFmtId="0" fontId="3" fillId="0" borderId="0" xfId="1" applyFont="1"/>
    <xf numFmtId="0" fontId="1" fillId="0" borderId="0" xfId="1" applyFont="1"/>
    <xf numFmtId="0" fontId="6" fillId="0" borderId="0" xfId="3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10" fillId="3" borderId="0" xfId="3" applyFont="1" applyFill="1"/>
    <xf numFmtId="0" fontId="11" fillId="4" borderId="0" xfId="1" applyFont="1" applyFill="1"/>
    <xf numFmtId="0" fontId="8" fillId="0" borderId="0" xfId="3" applyFont="1"/>
    <xf numFmtId="0" fontId="8" fillId="0" borderId="3" xfId="3" applyFont="1" applyBorder="1"/>
    <xf numFmtId="37" fontId="12" fillId="5" borderId="0" xfId="3" applyNumberFormat="1" applyFont="1" applyFill="1" applyAlignment="1">
      <alignment horizontal="centerContinuous" vertical="center"/>
    </xf>
    <xf numFmtId="37" fontId="12" fillId="5" borderId="0" xfId="3" applyNumberFormat="1" applyFont="1" applyFill="1" applyAlignment="1">
      <alignment horizontal="centerContinuous" vertical="distributed"/>
    </xf>
    <xf numFmtId="37" fontId="1" fillId="0" borderId="0" xfId="3" applyNumberFormat="1" applyFont="1" applyAlignment="1">
      <alignment vertical="center"/>
    </xf>
    <xf numFmtId="168" fontId="13" fillId="0" borderId="0" xfId="3" applyNumberFormat="1" applyFont="1" applyAlignment="1" applyProtection="1">
      <alignment horizontal="center" vertical="center"/>
      <protection hidden="1"/>
    </xf>
    <xf numFmtId="169" fontId="14" fillId="6" borderId="4" xfId="3" applyNumberFormat="1" applyFont="1" applyFill="1" applyBorder="1"/>
    <xf numFmtId="0" fontId="8" fillId="0" borderId="0" xfId="3" applyFont="1" applyAlignment="1">
      <alignment horizontal="left" indent="1"/>
    </xf>
    <xf numFmtId="169" fontId="14" fillId="6" borderId="0" xfId="3" applyNumberFormat="1" applyFont="1" applyFill="1"/>
    <xf numFmtId="0" fontId="15" fillId="0" borderId="0" xfId="3" applyFont="1"/>
    <xf numFmtId="170" fontId="17" fillId="6" borderId="5" xfId="5" applyNumberFormat="1" applyFont="1" applyFill="1" applyBorder="1"/>
    <xf numFmtId="0" fontId="18" fillId="0" borderId="0" xfId="3" applyFont="1" applyAlignment="1">
      <alignment horizontal="left" indent="1"/>
    </xf>
    <xf numFmtId="0" fontId="18" fillId="0" borderId="0" xfId="3" applyFont="1" applyAlignment="1">
      <alignment horizontal="left" indent="2"/>
    </xf>
    <xf numFmtId="171" fontId="17" fillId="0" borderId="0" xfId="5" applyNumberFormat="1" applyFont="1" applyBorder="1"/>
    <xf numFmtId="169" fontId="8" fillId="0" borderId="0" xfId="3" applyNumberFormat="1" applyFont="1"/>
    <xf numFmtId="169" fontId="19" fillId="0" borderId="0" xfId="3" applyNumberFormat="1" applyFont="1" applyAlignment="1">
      <alignment horizontal="right" vertical="center"/>
    </xf>
    <xf numFmtId="172" fontId="21" fillId="0" borderId="0" xfId="6" applyNumberFormat="1" applyFont="1" applyFill="1" applyAlignment="1" applyProtection="1">
      <alignment horizontal="left"/>
      <protection locked="0"/>
    </xf>
    <xf numFmtId="173" fontId="19" fillId="0" borderId="6" xfId="3" applyNumberFormat="1" applyFont="1" applyBorder="1" applyAlignment="1">
      <alignment horizontal="right" vertical="center"/>
    </xf>
    <xf numFmtId="173" fontId="19" fillId="0" borderId="7" xfId="3" applyNumberFormat="1" applyFont="1" applyBorder="1" applyAlignment="1">
      <alignment horizontal="right" vertical="center"/>
    </xf>
    <xf numFmtId="169" fontId="12" fillId="0" borderId="0" xfId="3" applyNumberFormat="1" applyFont="1" applyAlignment="1">
      <alignment vertical="center"/>
    </xf>
    <xf numFmtId="37" fontId="12" fillId="0" borderId="0" xfId="3" applyNumberFormat="1" applyFont="1" applyAlignment="1">
      <alignment vertical="center"/>
    </xf>
    <xf numFmtId="37" fontId="12" fillId="5" borderId="0" xfId="3" applyNumberFormat="1" applyFont="1" applyFill="1" applyAlignment="1">
      <alignment vertical="center"/>
    </xf>
    <xf numFmtId="169" fontId="8" fillId="0" borderId="3" xfId="3" applyNumberFormat="1" applyFont="1" applyBorder="1"/>
    <xf numFmtId="169" fontId="19" fillId="0" borderId="0" xfId="3" applyNumberFormat="1" applyFont="1"/>
    <xf numFmtId="169" fontId="19" fillId="6" borderId="5" xfId="3" applyNumberFormat="1" applyFont="1" applyFill="1" applyBorder="1"/>
    <xf numFmtId="169" fontId="19" fillId="6" borderId="8" xfId="3" applyNumberFormat="1" applyFont="1" applyFill="1" applyBorder="1"/>
    <xf numFmtId="0" fontId="15" fillId="0" borderId="0" xfId="3" applyFont="1" applyAlignment="1">
      <alignment horizontal="left" indent="1"/>
    </xf>
    <xf numFmtId="169" fontId="8" fillId="6" borderId="9" xfId="3" applyNumberFormat="1" applyFont="1" applyFill="1" applyBorder="1"/>
    <xf numFmtId="169" fontId="8" fillId="6" borderId="3" xfId="3" applyNumberFormat="1" applyFont="1" applyFill="1" applyBorder="1"/>
    <xf numFmtId="169" fontId="8" fillId="6" borderId="10" xfId="3" applyNumberFormat="1" applyFont="1" applyFill="1" applyBorder="1"/>
    <xf numFmtId="169" fontId="8" fillId="6" borderId="11" xfId="3" applyNumberFormat="1" applyFont="1" applyFill="1" applyBorder="1"/>
    <xf numFmtId="169" fontId="8" fillId="6" borderId="5" xfId="3" applyNumberFormat="1" applyFont="1" applyFill="1" applyBorder="1"/>
    <xf numFmtId="169" fontId="8" fillId="6" borderId="12" xfId="3" applyNumberFormat="1" applyFont="1" applyFill="1" applyBorder="1"/>
    <xf numFmtId="169" fontId="15" fillId="6" borderId="5" xfId="3" applyNumberFormat="1" applyFont="1" applyFill="1" applyBorder="1"/>
    <xf numFmtId="169" fontId="8" fillId="6" borderId="0" xfId="3" applyNumberFormat="1" applyFont="1" applyFill="1"/>
    <xf numFmtId="170" fontId="8" fillId="0" borderId="0" xfId="3" applyNumberFormat="1" applyFont="1"/>
    <xf numFmtId="170" fontId="8" fillId="6" borderId="13" xfId="3" applyNumberFormat="1" applyFont="1" applyFill="1" applyBorder="1"/>
    <xf numFmtId="170" fontId="8" fillId="6" borderId="14" xfId="3" applyNumberFormat="1" applyFont="1" applyFill="1" applyBorder="1"/>
    <xf numFmtId="170" fontId="8" fillId="6" borderId="15" xfId="3" applyNumberFormat="1" applyFont="1" applyFill="1" applyBorder="1"/>
    <xf numFmtId="169" fontId="14" fillId="0" borderId="0" xfId="3" applyNumberFormat="1" applyFont="1"/>
    <xf numFmtId="169" fontId="14" fillId="6" borderId="0" xfId="3" applyNumberFormat="1" applyFont="1" applyFill="1" applyAlignment="1">
      <alignment horizontal="right"/>
    </xf>
    <xf numFmtId="169" fontId="15" fillId="0" borderId="0" xfId="3" applyNumberFormat="1" applyFont="1"/>
    <xf numFmtId="169" fontId="14" fillId="0" borderId="3" xfId="3" applyNumberFormat="1" applyFont="1" applyBorder="1"/>
    <xf numFmtId="0" fontId="14" fillId="0" borderId="3" xfId="3" applyFont="1" applyBorder="1"/>
    <xf numFmtId="0" fontId="22" fillId="0" borderId="0" xfId="3" applyFont="1"/>
    <xf numFmtId="172" fontId="21" fillId="0" borderId="0" xfId="6" applyNumberFormat="1" applyFont="1" applyFill="1" applyAlignment="1" applyProtection="1">
      <alignment horizontal="left" indent="1"/>
      <protection locked="0"/>
    </xf>
    <xf numFmtId="170" fontId="14" fillId="6" borderId="9" xfId="3" applyNumberFormat="1" applyFont="1" applyFill="1" applyBorder="1" applyAlignment="1">
      <alignment horizontal="right" vertical="center"/>
    </xf>
    <xf numFmtId="170" fontId="14" fillId="6" borderId="3" xfId="3" applyNumberFormat="1" applyFont="1" applyFill="1" applyBorder="1" applyAlignment="1">
      <alignment horizontal="right" vertical="center"/>
    </xf>
    <xf numFmtId="170" fontId="14" fillId="6" borderId="10" xfId="3" applyNumberFormat="1" applyFont="1" applyFill="1" applyBorder="1" applyAlignment="1">
      <alignment horizontal="right" vertical="center"/>
    </xf>
    <xf numFmtId="0" fontId="23" fillId="0" borderId="0" xfId="3" applyFont="1" applyAlignment="1">
      <alignment horizontal="center"/>
    </xf>
    <xf numFmtId="174" fontId="14" fillId="6" borderId="16" xfId="3" applyNumberFormat="1" applyFont="1" applyFill="1" applyBorder="1" applyAlignment="1">
      <alignment horizontal="right" vertical="center"/>
    </xf>
    <xf numFmtId="174" fontId="14" fillId="6" borderId="0" xfId="3" applyNumberFormat="1" applyFont="1" applyFill="1" applyAlignment="1">
      <alignment horizontal="right" vertical="center"/>
    </xf>
    <xf numFmtId="174" fontId="14" fillId="6" borderId="17" xfId="3" applyNumberFormat="1" applyFont="1" applyFill="1" applyBorder="1" applyAlignment="1">
      <alignment horizontal="right" vertical="center"/>
    </xf>
    <xf numFmtId="169" fontId="14" fillId="6" borderId="11" xfId="3" applyNumberFormat="1" applyFont="1" applyFill="1" applyBorder="1" applyAlignment="1">
      <alignment horizontal="right" vertical="center"/>
    </xf>
    <xf numFmtId="169" fontId="14" fillId="6" borderId="5" xfId="3" applyNumberFormat="1" applyFont="1" applyFill="1" applyBorder="1" applyAlignment="1">
      <alignment horizontal="right" vertical="center"/>
    </xf>
    <xf numFmtId="169" fontId="14" fillId="6" borderId="12" xfId="3" applyNumberFormat="1" applyFont="1" applyFill="1" applyBorder="1" applyAlignment="1">
      <alignment horizontal="right" vertical="center"/>
    </xf>
    <xf numFmtId="0" fontId="8" fillId="0" borderId="0" xfId="3" applyFont="1" applyAlignment="1">
      <alignment horizontal="left"/>
    </xf>
    <xf numFmtId="169" fontId="14" fillId="0" borderId="0" xfId="5" applyNumberFormat="1" applyFont="1" applyFill="1" applyBorder="1"/>
    <xf numFmtId="169" fontId="14" fillId="6" borderId="4" xfId="5" applyNumberFormat="1" applyFont="1" applyFill="1" applyBorder="1"/>
    <xf numFmtId="169" fontId="14" fillId="6" borderId="0" xfId="5" applyNumberFormat="1" applyFont="1" applyFill="1" applyBorder="1" applyAlignment="1">
      <alignment horizontal="right"/>
    </xf>
    <xf numFmtId="169" fontId="24" fillId="0" borderId="0" xfId="5" applyNumberFormat="1" applyFont="1" applyFill="1" applyBorder="1"/>
    <xf numFmtId="169" fontId="14" fillId="6" borderId="0" xfId="5" applyNumberFormat="1" applyFont="1" applyFill="1"/>
    <xf numFmtId="169" fontId="24" fillId="0" borderId="0" xfId="5" applyNumberFormat="1" applyFont="1" applyFill="1"/>
    <xf numFmtId="169" fontId="14" fillId="0" borderId="0" xfId="5" applyNumberFormat="1" applyFont="1" applyFill="1"/>
    <xf numFmtId="169" fontId="8" fillId="0" borderId="0" xfId="5" applyNumberFormat="1" applyFont="1" applyFill="1"/>
    <xf numFmtId="0" fontId="19" fillId="0" borderId="0" xfId="3" applyFont="1" applyAlignment="1">
      <alignment horizontal="left"/>
    </xf>
    <xf numFmtId="169" fontId="25" fillId="0" borderId="0" xfId="5" applyNumberFormat="1" applyFont="1" applyFill="1"/>
    <xf numFmtId="170" fontId="8" fillId="6" borderId="0" xfId="5" applyNumberFormat="1" applyFont="1" applyFill="1"/>
    <xf numFmtId="169" fontId="14" fillId="6" borderId="9" xfId="5" applyNumberFormat="1" applyFont="1" applyFill="1" applyBorder="1"/>
    <xf numFmtId="169" fontId="14" fillId="6" borderId="3" xfId="5" applyNumberFormat="1" applyFont="1" applyFill="1" applyBorder="1"/>
    <xf numFmtId="169" fontId="14" fillId="6" borderId="10" xfId="5" applyNumberFormat="1" applyFont="1" applyFill="1" applyBorder="1"/>
    <xf numFmtId="169" fontId="14" fillId="6" borderId="16" xfId="5" applyNumberFormat="1" applyFont="1" applyFill="1" applyBorder="1"/>
    <xf numFmtId="169" fontId="14" fillId="6" borderId="0" xfId="5" applyNumberFormat="1" applyFont="1" applyFill="1" applyBorder="1"/>
    <xf numFmtId="169" fontId="14" fillId="6" borderId="17" xfId="5" applyNumberFormat="1" applyFont="1" applyFill="1" applyBorder="1"/>
    <xf numFmtId="169" fontId="14" fillId="6" borderId="11" xfId="3" applyNumberFormat="1" applyFont="1" applyFill="1" applyBorder="1"/>
    <xf numFmtId="169" fontId="14" fillId="6" borderId="5" xfId="3" applyNumberFormat="1" applyFont="1" applyFill="1" applyBorder="1"/>
    <xf numFmtId="169" fontId="14" fillId="6" borderId="12" xfId="3" applyNumberFormat="1" applyFont="1" applyFill="1" applyBorder="1"/>
    <xf numFmtId="169" fontId="19" fillId="6" borderId="4" xfId="3" applyNumberFormat="1" applyFont="1" applyFill="1" applyBorder="1"/>
    <xf numFmtId="169" fontId="24" fillId="0" borderId="0" xfId="3" applyNumberFormat="1" applyFont="1"/>
    <xf numFmtId="169" fontId="25" fillId="0" borderId="0" xfId="3" applyNumberFormat="1" applyFont="1"/>
    <xf numFmtId="0" fontId="8" fillId="0" borderId="0" xfId="3" applyFont="1" applyAlignment="1">
      <alignment horizontal="left" indent="2"/>
    </xf>
    <xf numFmtId="169" fontId="8" fillId="0" borderId="0" xfId="3" applyNumberFormat="1" applyFont="1" applyAlignment="1">
      <alignment horizontal="right"/>
    </xf>
    <xf numFmtId="169" fontId="25" fillId="0" borderId="0" xfId="3" applyNumberFormat="1" applyFont="1" applyAlignment="1">
      <alignment horizontal="right"/>
    </xf>
    <xf numFmtId="175" fontId="14" fillId="0" borderId="0" xfId="3" applyNumberFormat="1" applyFont="1"/>
    <xf numFmtId="0" fontId="18" fillId="0" borderId="3" xfId="3" applyFont="1" applyBorder="1"/>
    <xf numFmtId="0" fontId="18" fillId="0" borderId="0" xfId="3" applyFont="1"/>
    <xf numFmtId="0" fontId="26" fillId="0" borderId="0" xfId="3" applyFont="1"/>
    <xf numFmtId="0" fontId="14" fillId="0" borderId="0" xfId="3" applyFont="1"/>
    <xf numFmtId="176" fontId="19" fillId="0" borderId="0" xfId="3" applyNumberFormat="1" applyFont="1"/>
    <xf numFmtId="175" fontId="8" fillId="0" borderId="0" xfId="3" applyNumberFormat="1" applyFont="1"/>
    <xf numFmtId="176" fontId="14" fillId="0" borderId="0" xfId="3" applyNumberFormat="1" applyFont="1"/>
    <xf numFmtId="0" fontId="25" fillId="0" borderId="0" xfId="3" applyFont="1"/>
    <xf numFmtId="177" fontId="19" fillId="0" borderId="0" xfId="3" applyNumberFormat="1" applyFont="1" applyAlignment="1">
      <alignment horizontal="right" vertical="center"/>
    </xf>
    <xf numFmtId="178" fontId="19" fillId="0" borderId="0" xfId="3" applyNumberFormat="1" applyFont="1" applyAlignment="1">
      <alignment horizontal="right" vertical="center"/>
    </xf>
    <xf numFmtId="175" fontId="8" fillId="0" borderId="3" xfId="3" applyNumberFormat="1" applyFont="1" applyBorder="1"/>
    <xf numFmtId="175" fontId="25" fillId="0" borderId="3" xfId="3" applyNumberFormat="1" applyFont="1" applyBorder="1"/>
    <xf numFmtId="169" fontId="27" fillId="0" borderId="0" xfId="3" applyNumberFormat="1" applyFont="1"/>
    <xf numFmtId="169" fontId="14" fillId="0" borderId="0" xfId="3" applyNumberFormat="1" applyFont="1" applyAlignment="1">
      <alignment horizontal="right"/>
    </xf>
    <xf numFmtId="169" fontId="14" fillId="6" borderId="5" xfId="3" applyNumberFormat="1" applyFont="1" applyFill="1" applyBorder="1" applyAlignment="1">
      <alignment horizontal="right"/>
    </xf>
    <xf numFmtId="169" fontId="24" fillId="0" borderId="0" xfId="3" applyNumberFormat="1" applyFont="1" applyAlignment="1">
      <alignment horizontal="right"/>
    </xf>
    <xf numFmtId="37" fontId="1" fillId="0" borderId="0" xfId="3" applyNumberFormat="1" applyFont="1"/>
    <xf numFmtId="37" fontId="14" fillId="0" borderId="0" xfId="3" applyNumberFormat="1" applyFont="1"/>
    <xf numFmtId="179" fontId="8" fillId="0" borderId="3" xfId="3" applyNumberFormat="1" applyFont="1" applyBorder="1" applyProtection="1">
      <protection locked="0"/>
    </xf>
    <xf numFmtId="170" fontId="24" fillId="0" borderId="0" xfId="5" applyNumberFormat="1" applyFont="1"/>
    <xf numFmtId="170" fontId="14" fillId="0" borderId="0" xfId="5" applyNumberFormat="1" applyFont="1"/>
    <xf numFmtId="170" fontId="14" fillId="6" borderId="0" xfId="5" applyNumberFormat="1" applyFont="1" applyFill="1"/>
    <xf numFmtId="174" fontId="24" fillId="0" borderId="0" xfId="3" applyNumberFormat="1" applyFont="1"/>
    <xf numFmtId="174" fontId="14" fillId="6" borderId="0" xfId="3" applyNumberFormat="1" applyFont="1" applyFill="1"/>
    <xf numFmtId="175" fontId="24" fillId="0" borderId="0" xfId="3" applyNumberFormat="1" applyFont="1"/>
    <xf numFmtId="175" fontId="14" fillId="6" borderId="0" xfId="3" applyNumberFormat="1" applyFont="1" applyFill="1"/>
    <xf numFmtId="171" fontId="8" fillId="0" borderId="0" xfId="3" applyNumberFormat="1" applyFont="1"/>
    <xf numFmtId="173" fontId="28" fillId="0" borderId="7" xfId="3" applyNumberFormat="1" applyFont="1" applyBorder="1" applyAlignment="1">
      <alignment horizontal="right" vertical="center"/>
    </xf>
    <xf numFmtId="0" fontId="3" fillId="0" borderId="0" xfId="3" applyFont="1"/>
    <xf numFmtId="180" fontId="29" fillId="0" borderId="0" xfId="6" applyNumberFormat="1" applyFont="1" applyAlignment="1" applyProtection="1">
      <alignment horizontal="center"/>
      <protection locked="0"/>
    </xf>
    <xf numFmtId="0" fontId="10" fillId="0" borderId="0" xfId="3" applyFont="1"/>
    <xf numFmtId="0" fontId="10" fillId="2" borderId="0" xfId="3" applyFont="1" applyFill="1"/>
    <xf numFmtId="168" fontId="13" fillId="6" borderId="18" xfId="3" applyNumberFormat="1" applyFont="1" applyFill="1" applyBorder="1" applyAlignment="1" applyProtection="1">
      <alignment horizontal="center" vertical="center"/>
      <protection hidden="1"/>
    </xf>
    <xf numFmtId="169" fontId="6" fillId="6" borderId="1" xfId="3" applyNumberFormat="1" applyFill="1" applyBorder="1" applyAlignment="1">
      <alignment horizontal="right"/>
    </xf>
    <xf numFmtId="169" fontId="6" fillId="6" borderId="19" xfId="3" applyNumberFormat="1" applyFill="1" applyBorder="1" applyAlignment="1">
      <alignment horizontal="right"/>
    </xf>
    <xf numFmtId="168" fontId="13" fillId="6" borderId="20" xfId="3" applyNumberFormat="1" applyFont="1" applyFill="1" applyBorder="1" applyAlignment="1" applyProtection="1">
      <alignment horizontal="center" vertical="center"/>
      <protection hidden="1"/>
    </xf>
    <xf numFmtId="169" fontId="6" fillId="6" borderId="0" xfId="3" applyNumberFormat="1" applyFill="1" applyAlignment="1">
      <alignment horizontal="right"/>
    </xf>
    <xf numFmtId="169" fontId="6" fillId="6" borderId="21" xfId="3" applyNumberFormat="1" applyFill="1" applyBorder="1" applyAlignment="1">
      <alignment horizontal="right"/>
    </xf>
    <xf numFmtId="168" fontId="13" fillId="6" borderId="22" xfId="3" applyNumberFormat="1" applyFont="1" applyFill="1" applyBorder="1" applyAlignment="1" applyProtection="1">
      <alignment horizontal="center" vertical="center"/>
      <protection hidden="1"/>
    </xf>
    <xf numFmtId="169" fontId="6" fillId="6" borderId="23" xfId="3" applyNumberFormat="1" applyFill="1" applyBorder="1" applyAlignment="1">
      <alignment horizontal="right"/>
    </xf>
    <xf numFmtId="169" fontId="6" fillId="6" borderId="24" xfId="3" applyNumberFormat="1" applyFill="1" applyBorder="1" applyAlignment="1">
      <alignment horizontal="right"/>
    </xf>
    <xf numFmtId="170" fontId="6" fillId="6" borderId="1" xfId="3" applyNumberFormat="1" applyFill="1" applyBorder="1" applyAlignment="1">
      <alignment horizontal="right"/>
    </xf>
    <xf numFmtId="170" fontId="6" fillId="6" borderId="19" xfId="3" applyNumberFormat="1" applyFill="1" applyBorder="1" applyAlignment="1">
      <alignment horizontal="right"/>
    </xf>
    <xf numFmtId="181" fontId="30" fillId="6" borderId="25" xfId="3" applyNumberFormat="1" applyFont="1" applyFill="1" applyBorder="1" applyAlignment="1">
      <alignment horizontal="center"/>
    </xf>
    <xf numFmtId="169" fontId="30" fillId="6" borderId="4" xfId="3" applyNumberFormat="1" applyFont="1" applyFill="1" applyBorder="1" applyAlignment="1">
      <alignment horizontal="right"/>
    </xf>
    <xf numFmtId="169" fontId="30" fillId="6" borderId="26" xfId="3" applyNumberFormat="1" applyFont="1" applyFill="1" applyBorder="1" applyAlignment="1">
      <alignment horizontal="right"/>
    </xf>
    <xf numFmtId="168" fontId="13" fillId="6" borderId="27" xfId="3" applyNumberFormat="1" applyFont="1" applyFill="1" applyBorder="1" applyAlignment="1" applyProtection="1">
      <alignment horizontal="center" vertical="center"/>
      <protection hidden="1"/>
    </xf>
    <xf numFmtId="170" fontId="6" fillId="6" borderId="28" xfId="3" applyNumberFormat="1" applyFill="1" applyBorder="1" applyAlignment="1">
      <alignment horizontal="right"/>
    </xf>
    <xf numFmtId="170" fontId="6" fillId="6" borderId="29" xfId="3" applyNumberFormat="1" applyFill="1" applyBorder="1" applyAlignment="1">
      <alignment horizontal="right"/>
    </xf>
    <xf numFmtId="174" fontId="6" fillId="6" borderId="0" xfId="3" applyNumberFormat="1" applyFill="1" applyAlignment="1">
      <alignment horizontal="right"/>
    </xf>
    <xf numFmtId="174" fontId="6" fillId="6" borderId="21" xfId="3" applyNumberFormat="1" applyFill="1" applyBorder="1" applyAlignment="1">
      <alignment horizontal="right"/>
    </xf>
    <xf numFmtId="169" fontId="6" fillId="6" borderId="28" xfId="3" applyNumberFormat="1" applyFill="1" applyBorder="1" applyAlignment="1">
      <alignment horizontal="right"/>
    </xf>
    <xf numFmtId="169" fontId="6" fillId="6" borderId="29" xfId="3" applyNumberFormat="1" applyFill="1" applyBorder="1" applyAlignment="1">
      <alignment horizontal="right"/>
    </xf>
    <xf numFmtId="170" fontId="6" fillId="6" borderId="0" xfId="3" applyNumberFormat="1" applyFill="1" applyAlignment="1">
      <alignment horizontal="right"/>
    </xf>
    <xf numFmtId="170" fontId="6" fillId="6" borderId="21" xfId="3" applyNumberFormat="1" applyFill="1" applyBorder="1" applyAlignment="1">
      <alignment horizontal="right"/>
    </xf>
    <xf numFmtId="174" fontId="6" fillId="6" borderId="23" xfId="3" applyNumberFormat="1" applyFill="1" applyBorder="1" applyAlignment="1">
      <alignment horizontal="right"/>
    </xf>
    <xf numFmtId="174" fontId="6" fillId="6" borderId="24" xfId="3" applyNumberFormat="1" applyFill="1" applyBorder="1" applyAlignment="1">
      <alignment horizontal="right"/>
    </xf>
    <xf numFmtId="0" fontId="31" fillId="0" borderId="0" xfId="3" applyFont="1" applyAlignment="1">
      <alignment horizontal="left" indent="1"/>
    </xf>
    <xf numFmtId="169" fontId="0" fillId="0" borderId="0" xfId="0" applyNumberFormat="1"/>
    <xf numFmtId="0" fontId="0" fillId="0" borderId="0" xfId="0"/>
    <xf numFmtId="170" fontId="8" fillId="4" borderId="30" xfId="5" applyNumberFormat="1" applyFont="1" applyFill="1" applyBorder="1"/>
    <xf numFmtId="170" fontId="14" fillId="7" borderId="0" xfId="5" applyNumberFormat="1" applyFont="1" applyFill="1"/>
    <xf numFmtId="170" fontId="24" fillId="4" borderId="0" xfId="5" applyNumberFormat="1" applyFont="1" applyFill="1"/>
    <xf numFmtId="0" fontId="8" fillId="4" borderId="0" xfId="3" applyFont="1" applyFill="1"/>
    <xf numFmtId="0" fontId="6" fillId="4" borderId="0" xfId="3" applyFill="1"/>
    <xf numFmtId="174" fontId="14" fillId="7" borderId="0" xfId="3" applyNumberFormat="1" applyFont="1" applyFill="1"/>
    <xf numFmtId="169" fontId="14" fillId="7" borderId="0" xfId="3" applyNumberFormat="1" applyFont="1" applyFill="1"/>
    <xf numFmtId="169" fontId="24" fillId="4" borderId="0" xfId="3" applyNumberFormat="1" applyFont="1" applyFill="1"/>
    <xf numFmtId="170" fontId="8" fillId="7" borderId="0" xfId="5" applyNumberFormat="1" applyFont="1" applyFill="1"/>
    <xf numFmtId="170" fontId="8" fillId="4" borderId="0" xfId="5" applyNumberFormat="1" applyFont="1" applyFill="1"/>
    <xf numFmtId="0" fontId="6" fillId="4" borderId="0" xfId="3" applyFont="1" applyFill="1"/>
    <xf numFmtId="174" fontId="8" fillId="4" borderId="0" xfId="3" applyNumberFormat="1" applyFont="1" applyFill="1"/>
    <xf numFmtId="169" fontId="8" fillId="4" borderId="0" xfId="3" applyNumberFormat="1" applyFont="1" applyFill="1"/>
    <xf numFmtId="169" fontId="24" fillId="4" borderId="0" xfId="3" applyNumberFormat="1" applyFont="1" applyFill="1" applyAlignment="1">
      <alignment horizontal="right"/>
    </xf>
    <xf numFmtId="169" fontId="14" fillId="7" borderId="0" xfId="3" applyNumberFormat="1" applyFont="1" applyFill="1" applyAlignment="1">
      <alignment horizontal="right"/>
    </xf>
    <xf numFmtId="169" fontId="19" fillId="7" borderId="5" xfId="3" applyNumberFormat="1" applyFont="1" applyFill="1" applyBorder="1"/>
    <xf numFmtId="169" fontId="19" fillId="4" borderId="0" xfId="3" applyNumberFormat="1" applyFont="1" applyFill="1"/>
    <xf numFmtId="169" fontId="14" fillId="7" borderId="5" xfId="3" applyNumberFormat="1" applyFont="1" applyFill="1" applyBorder="1" applyAlignment="1">
      <alignment horizontal="right"/>
    </xf>
    <xf numFmtId="169" fontId="14" fillId="4" borderId="0" xfId="3" applyNumberFormat="1" applyFont="1" applyFill="1" applyAlignment="1">
      <alignment horizontal="right"/>
    </xf>
    <xf numFmtId="169" fontId="19" fillId="7" borderId="4" xfId="3" applyNumberFormat="1" applyFont="1" applyFill="1" applyBorder="1"/>
    <xf numFmtId="169" fontId="27" fillId="4" borderId="0" xfId="3" applyNumberFormat="1" applyFont="1" applyFill="1"/>
    <xf numFmtId="169" fontId="15" fillId="4" borderId="0" xfId="3" applyNumberFormat="1" applyFont="1" applyFill="1"/>
    <xf numFmtId="169" fontId="14" fillId="4" borderId="0" xfId="3" applyNumberFormat="1" applyFont="1" applyFill="1"/>
    <xf numFmtId="169" fontId="14" fillId="7" borderId="5" xfId="3" applyNumberFormat="1" applyFont="1" applyFill="1" applyBorder="1"/>
    <xf numFmtId="169" fontId="25" fillId="4" borderId="0" xfId="3" applyNumberFormat="1" applyFont="1" applyFill="1"/>
    <xf numFmtId="169" fontId="25" fillId="4" borderId="0" xfId="3" applyNumberFormat="1" applyFont="1" applyFill="1" applyAlignment="1">
      <alignment horizontal="right"/>
    </xf>
    <xf numFmtId="169" fontId="8" fillId="4" borderId="0" xfId="3" applyNumberFormat="1" applyFont="1" applyFill="1" applyAlignment="1">
      <alignment horizontal="right"/>
    </xf>
    <xf numFmtId="0" fontId="0" fillId="4" borderId="0" xfId="0" applyFill="1"/>
    <xf numFmtId="37" fontId="1" fillId="4" borderId="0" xfId="3" applyNumberFormat="1" applyFont="1" applyFill="1" applyAlignment="1">
      <alignment vertical="center"/>
    </xf>
    <xf numFmtId="169" fontId="34" fillId="4" borderId="0" xfId="3" applyNumberFormat="1" applyFont="1" applyFill="1"/>
    <xf numFmtId="169" fontId="14" fillId="7" borderId="12" xfId="3" applyNumberFormat="1" applyFont="1" applyFill="1" applyBorder="1"/>
    <xf numFmtId="169" fontId="14" fillId="7" borderId="11" xfId="3" applyNumberFormat="1" applyFont="1" applyFill="1" applyBorder="1"/>
    <xf numFmtId="169" fontId="14" fillId="7" borderId="17" xfId="5" applyNumberFormat="1" applyFont="1" applyFill="1" applyBorder="1"/>
    <xf numFmtId="169" fontId="14" fillId="7" borderId="0" xfId="5" applyNumberFormat="1" applyFont="1" applyFill="1" applyBorder="1"/>
    <xf numFmtId="169" fontId="14" fillId="7" borderId="16" xfId="5" applyNumberFormat="1" applyFont="1" applyFill="1" applyBorder="1"/>
    <xf numFmtId="169" fontId="14" fillId="7" borderId="10" xfId="5" applyNumberFormat="1" applyFont="1" applyFill="1" applyBorder="1"/>
    <xf numFmtId="169" fontId="14" fillId="7" borderId="3" xfId="5" applyNumberFormat="1" applyFont="1" applyFill="1" applyBorder="1"/>
    <xf numFmtId="169" fontId="14" fillId="7" borderId="9" xfId="5" applyNumberFormat="1" applyFont="1" applyFill="1" applyBorder="1"/>
    <xf numFmtId="169" fontId="8" fillId="4" borderId="0" xfId="5" applyNumberFormat="1" applyFont="1" applyFill="1"/>
    <xf numFmtId="169" fontId="25" fillId="4" borderId="0" xfId="5" applyNumberFormat="1" applyFont="1" applyFill="1"/>
    <xf numFmtId="169" fontId="14" fillId="7" borderId="0" xfId="5" applyNumberFormat="1" applyFont="1" applyFill="1"/>
    <xf numFmtId="169" fontId="14" fillId="4" borderId="0" xfId="5" applyNumberFormat="1" applyFont="1" applyFill="1"/>
    <xf numFmtId="169" fontId="24" fillId="4" borderId="0" xfId="5" applyNumberFormat="1" applyFont="1" applyFill="1"/>
    <xf numFmtId="169" fontId="24" fillId="4" borderId="0" xfId="5" applyNumberFormat="1" applyFont="1" applyFill="1" applyBorder="1"/>
    <xf numFmtId="169" fontId="14" fillId="7" borderId="4" xfId="5" applyNumberFormat="1" applyFont="1" applyFill="1" applyBorder="1"/>
    <xf numFmtId="170" fontId="8" fillId="7" borderId="15" xfId="3" applyNumberFormat="1" applyFont="1" applyFill="1" applyBorder="1"/>
    <xf numFmtId="170" fontId="8" fillId="7" borderId="14" xfId="3" applyNumberFormat="1" applyFont="1" applyFill="1" applyBorder="1"/>
    <xf numFmtId="170" fontId="8" fillId="7" borderId="13" xfId="3" applyNumberFormat="1" applyFont="1" applyFill="1" applyBorder="1"/>
    <xf numFmtId="170" fontId="8" fillId="4" borderId="0" xfId="3" applyNumberFormat="1" applyFont="1" applyFill="1"/>
    <xf numFmtId="169" fontId="8" fillId="7" borderId="0" xfId="3" applyNumberFormat="1" applyFont="1" applyFill="1"/>
    <xf numFmtId="169" fontId="15" fillId="7" borderId="5" xfId="3" applyNumberFormat="1" applyFont="1" applyFill="1" applyBorder="1"/>
    <xf numFmtId="169" fontId="8" fillId="7" borderId="12" xfId="3" applyNumberFormat="1" applyFont="1" applyFill="1" applyBorder="1"/>
    <xf numFmtId="169" fontId="8" fillId="7" borderId="5" xfId="3" applyNumberFormat="1" applyFont="1" applyFill="1" applyBorder="1"/>
    <xf numFmtId="169" fontId="8" fillId="7" borderId="11" xfId="3" applyNumberFormat="1" applyFont="1" applyFill="1" applyBorder="1"/>
    <xf numFmtId="169" fontId="8" fillId="7" borderId="10" xfId="3" applyNumberFormat="1" applyFont="1" applyFill="1" applyBorder="1"/>
    <xf numFmtId="169" fontId="8" fillId="7" borderId="3" xfId="3" applyNumberFormat="1" applyFont="1" applyFill="1" applyBorder="1"/>
    <xf numFmtId="169" fontId="8" fillId="7" borderId="9" xfId="3" applyNumberFormat="1" applyFont="1" applyFill="1" applyBorder="1"/>
    <xf numFmtId="169" fontId="19" fillId="7" borderId="8" xfId="3" applyNumberFormat="1" applyFont="1" applyFill="1" applyBorder="1"/>
    <xf numFmtId="0" fontId="0" fillId="8" borderId="0" xfId="0" applyFill="1"/>
    <xf numFmtId="0" fontId="33" fillId="8" borderId="0" xfId="0" applyFont="1" applyFill="1"/>
    <xf numFmtId="0" fontId="35" fillId="8" borderId="0" xfId="0" applyFont="1" applyFill="1" applyAlignment="1">
      <alignment horizontal="right" vertical="center"/>
    </xf>
    <xf numFmtId="0" fontId="35" fillId="8" borderId="0" xfId="0" applyFont="1" applyFill="1" applyAlignment="1">
      <alignment vertical="center"/>
    </xf>
    <xf numFmtId="37" fontId="36" fillId="9" borderId="0" xfId="3" applyNumberFormat="1" applyFont="1" applyFill="1" applyAlignment="1">
      <alignment vertical="center"/>
    </xf>
    <xf numFmtId="170" fontId="17" fillId="7" borderId="5" xfId="5" applyNumberFormat="1" applyFont="1" applyFill="1" applyBorder="1"/>
    <xf numFmtId="171" fontId="17" fillId="4" borderId="0" xfId="5" applyNumberFormat="1" applyFont="1" applyFill="1" applyBorder="1"/>
    <xf numFmtId="169" fontId="14" fillId="7" borderId="4" xfId="3" applyNumberFormat="1" applyFont="1" applyFill="1" applyBorder="1"/>
    <xf numFmtId="0" fontId="3" fillId="0" borderId="0" xfId="0" applyFont="1"/>
    <xf numFmtId="0" fontId="8" fillId="0" borderId="0" xfId="1" applyFont="1"/>
    <xf numFmtId="169" fontId="1" fillId="0" borderId="0" xfId="1" applyNumberFormat="1" applyFont="1" applyAlignment="1">
      <alignment horizontal="right"/>
    </xf>
    <xf numFmtId="169" fontId="1" fillId="0" borderId="17" xfId="1" applyNumberFormat="1" applyFont="1" applyBorder="1" applyAlignment="1">
      <alignment horizontal="center"/>
    </xf>
    <xf numFmtId="169" fontId="14" fillId="0" borderId="17" xfId="1" applyNumberFormat="1" applyFont="1" applyBorder="1" applyAlignment="1">
      <alignment horizontal="center"/>
    </xf>
    <xf numFmtId="0" fontId="1" fillId="0" borderId="17" xfId="1" applyFont="1" applyBorder="1" applyAlignment="1">
      <alignment horizontal="center"/>
    </xf>
    <xf numFmtId="170" fontId="14" fillId="0" borderId="17" xfId="5" applyNumberFormat="1" applyFont="1" applyFill="1" applyBorder="1" applyAlignment="1">
      <alignment horizontal="center"/>
    </xf>
    <xf numFmtId="37" fontId="36" fillId="7" borderId="0" xfId="3" applyNumberFormat="1" applyFont="1" applyFill="1" applyAlignment="1">
      <alignment vertical="center"/>
    </xf>
    <xf numFmtId="0" fontId="1" fillId="0" borderId="2" xfId="1" applyFont="1" applyBorder="1" applyAlignment="1">
      <alignment horizontal="center"/>
    </xf>
    <xf numFmtId="0" fontId="8" fillId="0" borderId="2" xfId="1" applyFont="1" applyBorder="1" applyAlignment="1">
      <alignment horizontal="centerContinuous"/>
    </xf>
    <xf numFmtId="0" fontId="0" fillId="0" borderId="2" xfId="0" applyBorder="1"/>
    <xf numFmtId="0" fontId="0" fillId="0" borderId="31" xfId="0" applyBorder="1"/>
    <xf numFmtId="0" fontId="0" fillId="0" borderId="32" xfId="0" applyBorder="1"/>
    <xf numFmtId="0" fontId="37" fillId="0" borderId="2" xfId="0" applyFont="1" applyBorder="1" applyAlignment="1">
      <alignment horizontal="left" vertical="center"/>
    </xf>
    <xf numFmtId="0" fontId="37" fillId="0" borderId="33" xfId="0" applyFont="1" applyBorder="1" applyAlignment="1">
      <alignment horizontal="left" vertical="center"/>
    </xf>
    <xf numFmtId="0" fontId="0" fillId="0" borderId="33" xfId="0" applyBorder="1"/>
    <xf numFmtId="0" fontId="38" fillId="0" borderId="0" xfId="7" applyFont="1" applyBorder="1"/>
    <xf numFmtId="0" fontId="5" fillId="0" borderId="0" xfId="0" applyFont="1"/>
    <xf numFmtId="0" fontId="32" fillId="0" borderId="0" xfId="0" applyFont="1"/>
    <xf numFmtId="0" fontId="3" fillId="10" borderId="0" xfId="0" applyFont="1" applyFill="1"/>
    <xf numFmtId="0" fontId="0" fillId="10" borderId="0" xfId="0" applyFill="1"/>
    <xf numFmtId="0" fontId="5" fillId="0" borderId="34" xfId="0" applyFont="1" applyBorder="1"/>
    <xf numFmtId="0" fontId="5" fillId="0" borderId="35" xfId="0" applyFont="1" applyBorder="1" applyAlignment="1">
      <alignment horizontal="left" vertical="top"/>
    </xf>
    <xf numFmtId="0" fontId="39" fillId="0" borderId="36" xfId="0" applyFont="1" applyBorder="1"/>
    <xf numFmtId="0" fontId="39" fillId="0" borderId="34" xfId="0" applyFont="1" applyBorder="1" applyAlignment="1">
      <alignment horizontal="left"/>
    </xf>
    <xf numFmtId="0" fontId="5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8" borderId="31" xfId="0" applyFill="1" applyBorder="1"/>
    <xf numFmtId="0" fontId="0" fillId="8" borderId="32" xfId="0" applyFill="1" applyBorder="1"/>
    <xf numFmtId="0" fontId="40" fillId="4" borderId="31" xfId="0" applyFont="1" applyFill="1" applyBorder="1" applyAlignment="1">
      <alignment horizontal="left" vertical="top"/>
    </xf>
    <xf numFmtId="0" fontId="41" fillId="4" borderId="0" xfId="0" applyFont="1" applyFill="1" applyAlignment="1">
      <alignment horizontal="left" vertical="top"/>
    </xf>
    <xf numFmtId="0" fontId="42" fillId="0" borderId="0" xfId="0" applyFont="1"/>
    <xf numFmtId="165" fontId="43" fillId="0" borderId="0" xfId="4" applyNumberFormat="1" applyFont="1" applyFill="1" applyBorder="1" applyProtection="1">
      <protection locked="0"/>
    </xf>
  </cellXfs>
  <cellStyles count="8">
    <cellStyle name="Comma 2" xfId="6" xr:uid="{002BA15F-1F1A-4792-B81E-99316844EF66}"/>
    <cellStyle name="Hyperlink" xfId="7" builtinId="8"/>
    <cellStyle name="Hyperlink 2" xfId="4" xr:uid="{806DFAA6-FD5E-49EA-8F93-CEF5AEBD3801}"/>
    <cellStyle name="Hyperlink 2 2" xfId="2" xr:uid="{9247A620-78DB-4C68-90B4-76710382F130}"/>
    <cellStyle name="Normal" xfId="0" builtinId="0"/>
    <cellStyle name="Normal 2" xfId="3" xr:uid="{F03B39ED-6D7E-4B60-9568-065A12B7EFE3}"/>
    <cellStyle name="Normal 2 2 2" xfId="1" xr:uid="{46B9CE99-DB57-4141-8DB3-DDC6282A723B}"/>
    <cellStyle name="Percent 2" xfId="5" xr:uid="{B0FEF227-DBD6-42A3-916E-D0C27228DDE6}"/>
  </cellStyles>
  <dxfs count="4">
    <dxf>
      <font>
        <b/>
        <i val="0"/>
        <strike val="0"/>
        <color theme="0"/>
      </font>
      <fill>
        <patternFill>
          <bgColor rgb="FF947131"/>
        </patternFill>
      </fill>
    </dxf>
    <dxf>
      <font>
        <b/>
        <i val="0"/>
        <strike val="0"/>
        <color theme="0"/>
      </font>
      <fill>
        <patternFill>
          <bgColor rgb="FF947131"/>
        </patternFill>
      </fill>
    </dxf>
    <dxf>
      <font>
        <b/>
        <i val="0"/>
        <strike val="0"/>
        <color theme="0"/>
      </font>
      <fill>
        <patternFill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Dashboard!$Q$8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Model!$D$5:$K$5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Dashboard!$S$8:$Z$8</c:f>
              <c:numCache>
                <c:formatCode>_(#,##0_);\(#,##0\);_("–"_);_(@_)</c:formatCode>
                <c:ptCount val="8"/>
                <c:pt idx="0">
                  <c:v>347568</c:v>
                </c:pt>
                <c:pt idx="1">
                  <c:v>360716</c:v>
                </c:pt>
                <c:pt idx="2">
                  <c:v>361252</c:v>
                </c:pt>
                <c:pt idx="3">
                  <c:v>375702.08</c:v>
                </c:pt>
                <c:pt idx="4">
                  <c:v>390730.16320000001</c:v>
                </c:pt>
                <c:pt idx="5">
                  <c:v>406359.36972800002</c:v>
                </c:pt>
                <c:pt idx="6">
                  <c:v>422613.74451712001</c:v>
                </c:pt>
                <c:pt idx="7">
                  <c:v>439518.29429780482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5-4FE9-B80F-949319CC6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Dashboard!$Q$10</c:f>
              <c:strCache>
                <c:ptCount val="1"/>
                <c:pt idx="0">
                  <c:v>EBT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Dashboard!$S$10:$Z$10</c:f>
              <c:numCache>
                <c:formatCode>_(#,##0.0%_);\(#,##0.0%\);_("–"_);_(@_)</c:formatCode>
                <c:ptCount val="8"/>
                <c:pt idx="0">
                  <c:v>0.18068406757814298</c:v>
                </c:pt>
                <c:pt idx="1">
                  <c:v>0.17391521307621507</c:v>
                </c:pt>
                <c:pt idx="2">
                  <c:v>0.16090706764253207</c:v>
                </c:pt>
                <c:pt idx="3">
                  <c:v>0.1332841381229779</c:v>
                </c:pt>
                <c:pt idx="4">
                  <c:v>0.14750228242490029</c:v>
                </c:pt>
                <c:pt idx="5">
                  <c:v>0.14836183362349337</c:v>
                </c:pt>
                <c:pt idx="6">
                  <c:v>0.1491883251606021</c:v>
                </c:pt>
                <c:pt idx="7">
                  <c:v>0.14998302856166815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5-4FE9-B80F-949319CC61FD}"/>
            </c:ext>
          </c:extLst>
        </c:ser>
        <c:ser>
          <c:idx val="2"/>
          <c:order val="2"/>
          <c:tx>
            <c:strRef>
              <c:f>Dashboard!$Q$14</c:f>
              <c:strCache>
                <c:ptCount val="1"/>
                <c:pt idx="0">
                  <c:v>Net Income Margin (%)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Dashboard!$S$14:$Z$14</c:f>
              <c:numCache>
                <c:formatCode>_(#,##0.0%_);\(#,##0.0%\);_("–"_);_(@_)</c:formatCode>
                <c:ptCount val="8"/>
                <c:pt idx="0">
                  <c:v>0.12668600101275146</c:v>
                </c:pt>
                <c:pt idx="1">
                  <c:v>0.12682830814269397</c:v>
                </c:pt>
                <c:pt idx="2">
                  <c:v>0.11476476254802742</c:v>
                </c:pt>
                <c:pt idx="3">
                  <c:v>9.4631738067314328E-2</c:v>
                </c:pt>
                <c:pt idx="4">
                  <c:v>0.10472662052167921</c:v>
                </c:pt>
                <c:pt idx="5">
                  <c:v>0.1053369018726803</c:v>
                </c:pt>
                <c:pt idx="6">
                  <c:v>0.10592371086402749</c:v>
                </c:pt>
                <c:pt idx="7">
                  <c:v>0.10648795027878438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5-4FE9-B80F-949319CC6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Dashboard!$Q$18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Model!$D$5:$K$5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Dashboard!$S$18:$Z$18</c:f>
              <c:numCache>
                <c:formatCode>_(#,##0_);\(#,##0\);_("–"_);_(@_)</c:formatCode>
                <c:ptCount val="8"/>
                <c:pt idx="0">
                  <c:v>-66394</c:v>
                </c:pt>
                <c:pt idx="1">
                  <c:v>-72579</c:v>
                </c:pt>
                <c:pt idx="2">
                  <c:v>-62700</c:v>
                </c:pt>
                <c:pt idx="3">
                  <c:v>-67224.333333333328</c:v>
                </c:pt>
                <c:pt idx="4">
                  <c:v>-67501.111111111109</c:v>
                </c:pt>
                <c:pt idx="5">
                  <c:v>-65808.481481481489</c:v>
                </c:pt>
                <c:pt idx="6">
                  <c:v>-66844.641975308652</c:v>
                </c:pt>
                <c:pt idx="7">
                  <c:v>-66718.078189300417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3-446A-9ADE-9E6DD624CF11}"/>
            </c:ext>
          </c:extLst>
        </c:ser>
        <c:ser>
          <c:idx val="3"/>
          <c:order val="1"/>
          <c:tx>
            <c:strRef>
              <c:f>Dashboard!$Q$19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Model!$D$5:$K$5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Dashboard!$S$19:$Z$19</c:f>
              <c:numCache>
                <c:formatCode>_(#,##0_);\(#,##0\);_("–"_);_(@_)</c:formatCode>
                <c:ptCount val="8"/>
                <c:pt idx="0">
                  <c:v>-57492</c:v>
                </c:pt>
                <c:pt idx="1">
                  <c:v>-75827</c:v>
                </c:pt>
                <c:pt idx="2">
                  <c:v>-64950</c:v>
                </c:pt>
                <c:pt idx="3">
                  <c:v>-74385.811715976699</c:v>
                </c:pt>
                <c:pt idx="4">
                  <c:v>-70599.133242439973</c:v>
                </c:pt>
                <c:pt idx="5">
                  <c:v>-81329.702696975961</c:v>
                </c:pt>
                <c:pt idx="6">
                  <c:v>-66872.814929693384</c:v>
                </c:pt>
                <c:pt idx="7">
                  <c:v>-76203.951651719515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3-446A-9ADE-9E6DD624CF11}"/>
            </c:ext>
          </c:extLst>
        </c:ser>
        <c:ser>
          <c:idx val="0"/>
          <c:order val="2"/>
          <c:tx>
            <c:strRef>
              <c:f>Dashboard!$Q$17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Model!$D$5:$K$5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Dashboard!$S$17:$Z$17</c:f>
              <c:numCache>
                <c:formatCode>_(#,##0_);\(#,##0\);_("–"_);_(@_)</c:formatCode>
                <c:ptCount val="8"/>
                <c:pt idx="0">
                  <c:v>125963</c:v>
                </c:pt>
                <c:pt idx="1">
                  <c:v>124214</c:v>
                </c:pt>
                <c:pt idx="2">
                  <c:v>116977</c:v>
                </c:pt>
                <c:pt idx="3">
                  <c:v>119023.01913943408</c:v>
                </c:pt>
                <c:pt idx="4">
                  <c:v>128221.28003391541</c:v>
                </c:pt>
                <c:pt idx="5">
                  <c:v>131772.57090152116</c:v>
                </c:pt>
                <c:pt idx="6">
                  <c:v>134784.95982358424</c:v>
                </c:pt>
                <c:pt idx="7">
                  <c:v>141600.00841775615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3-446A-9ADE-9E6DD624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Dashboard!$Q$20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Dashboard!$S$20:$Z$20</c:f>
              <c:numCache>
                <c:formatCode>_(#,##0_);\(#,##0\);_("–"_);_(@_)</c:formatCode>
                <c:ptCount val="8"/>
                <c:pt idx="0">
                  <c:v>2077</c:v>
                </c:pt>
                <c:pt idx="1">
                  <c:v>-24192</c:v>
                </c:pt>
                <c:pt idx="2">
                  <c:v>-10673</c:v>
                </c:pt>
                <c:pt idx="3">
                  <c:v>-22587.125909875947</c:v>
                </c:pt>
                <c:pt idx="4">
                  <c:v>-9878.9643196356774</c:v>
                </c:pt>
                <c:pt idx="5">
                  <c:v>-15365.613276936288</c:v>
                </c:pt>
                <c:pt idx="6">
                  <c:v>1067.5029185822059</c:v>
                </c:pt>
                <c:pt idx="7">
                  <c:v>-1322.0214232637809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93-446A-9ADE-9E6DD624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2003499562554"/>
          <c:y val="5.0925925925925923E-2"/>
          <c:w val="0.85355774278215224"/>
          <c:h val="0.80521580635753864"/>
        </c:manualLayout>
      </c:layout>
      <c:areaChart>
        <c:grouping val="stacked"/>
        <c:varyColors val="0"/>
        <c:ser>
          <c:idx val="0"/>
          <c:order val="0"/>
          <c:tx>
            <c:strRef>
              <c:f>Dashboard!$Q$23</c:f>
              <c:strCache>
                <c:ptCount val="1"/>
                <c:pt idx="0">
                  <c:v>Cost of Sales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Dashboard!$S$23:$Z$23</c:f>
              <c:numCache>
                <c:formatCode>_(#,##0_);\(#,##0\);_("–"_);_(@_)</c:formatCode>
                <c:ptCount val="8"/>
                <c:pt idx="0">
                  <c:v>125319</c:v>
                </c:pt>
                <c:pt idx="1">
                  <c:v>132187</c:v>
                </c:pt>
                <c:pt idx="2">
                  <c:v>126221</c:v>
                </c:pt>
                <c:pt idx="3">
                  <c:v>134803.87075546797</c:v>
                </c:pt>
                <c:pt idx="4">
                  <c:v>140196.02558568667</c:v>
                </c:pt>
                <c:pt idx="5">
                  <c:v>145803.86660911413</c:v>
                </c:pt>
                <c:pt idx="6">
                  <c:v>151636.02127347872</c:v>
                </c:pt>
                <c:pt idx="7">
                  <c:v>157701.46212441786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E-4871-94E7-6C9BB7A4BD4C}"/>
            </c:ext>
          </c:extLst>
        </c:ser>
        <c:ser>
          <c:idx val="1"/>
          <c:order val="1"/>
          <c:tx>
            <c:strRef>
              <c:f>Dashboard!$Q$24</c:f>
              <c:strCache>
                <c:ptCount val="1"/>
                <c:pt idx="0">
                  <c:v>Operating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Dashboard!$S$24:$Z$24</c:f>
              <c:numCache>
                <c:formatCode>_(#,##0_);\(#,##0\);_("–"_);_(@_)</c:formatCode>
                <c:ptCount val="8"/>
                <c:pt idx="0">
                  <c:v>86339</c:v>
                </c:pt>
                <c:pt idx="1">
                  <c:v>82063</c:v>
                </c:pt>
                <c:pt idx="2">
                  <c:v>86015</c:v>
                </c:pt>
                <c:pt idx="3">
                  <c:v>89418.564961830169</c:v>
                </c:pt>
                <c:pt idx="4">
                  <c:v>92995.307560303365</c:v>
                </c:pt>
                <c:pt idx="5">
                  <c:v>96715.11986271551</c:v>
                </c:pt>
                <c:pt idx="6">
                  <c:v>100583.72465722413</c:v>
                </c:pt>
                <c:pt idx="7">
                  <c:v>104607.0736435131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E-4871-94E7-6C9BB7A4BD4C}"/>
            </c:ext>
          </c:extLst>
        </c:ser>
        <c:ser>
          <c:idx val="2"/>
          <c:order val="2"/>
          <c:tx>
            <c:strRef>
              <c:f>Dashboard!$Q$25</c:f>
              <c:strCache>
                <c:ptCount val="1"/>
                <c:pt idx="0">
                  <c:v>Depreciation &amp; Amortization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Dashboard!$S$25:$Z$25</c:f>
              <c:numCache>
                <c:formatCode>_(#,##0_);\(#,##0\);_("–"_);_(@_)</c:formatCode>
                <c:ptCount val="8"/>
                <c:pt idx="0">
                  <c:v>85687</c:v>
                </c:pt>
                <c:pt idx="1">
                  <c:v>83000</c:v>
                </c:pt>
                <c:pt idx="2">
                  <c:v>80700</c:v>
                </c:pt>
                <c:pt idx="3">
                  <c:v>87666.415468293693</c:v>
                </c:pt>
                <c:pt idx="4">
                  <c:v>91173.072087025444</c:v>
                </c:pt>
                <c:pt idx="5">
                  <c:v>94819.994970506465</c:v>
                </c:pt>
                <c:pt idx="6">
                  <c:v>98612.79476932672</c:v>
                </c:pt>
                <c:pt idx="7">
                  <c:v>102557.30656009979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E-4871-94E7-6C9BB7A4BD4C}"/>
            </c:ext>
          </c:extLst>
        </c:ser>
        <c:ser>
          <c:idx val="3"/>
          <c:order val="3"/>
          <c:tx>
            <c:strRef>
              <c:f>Dashboard!$Q$26</c:f>
              <c:strCache>
                <c:ptCount val="1"/>
                <c:pt idx="0">
                  <c:v>Interest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Dashboard!$S$5:$Z$5</c:f>
              <c:numCache>
                <c:formatCode>"Year "0;"Year "\-0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Dashboard!$S$26:$Z$26</c:f>
              <c:numCache>
                <c:formatCode>_(#,##0_);\(#,##0\);_("–"_);_(@_)</c:formatCode>
                <c:ptCount val="8"/>
                <c:pt idx="0">
                  <c:v>-12577</c:v>
                </c:pt>
                <c:pt idx="1">
                  <c:v>732</c:v>
                </c:pt>
                <c:pt idx="2">
                  <c:v>10188</c:v>
                </c:pt>
                <c:pt idx="3">
                  <c:v>13738.100890598102</c:v>
                </c:pt>
                <c:pt idx="4">
                  <c:v>8732.1670827307389</c:v>
                </c:pt>
                <c:pt idx="5">
                  <c:v>8732.1670827307389</c:v>
                </c:pt>
                <c:pt idx="6">
                  <c:v>8732.1670827307389</c:v>
                </c:pt>
                <c:pt idx="7">
                  <c:v>8732.1670827307389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E-4871-94E7-6C9BB7A4B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70008"/>
        <c:axId val="569271320"/>
      </c:areaChart>
      <c:catAx>
        <c:axId val="569270008"/>
        <c:scaling>
          <c:orientation val="minMax"/>
        </c:scaling>
        <c:delete val="0"/>
        <c:axPos val="b"/>
        <c:numFmt formatCode="&quot;Year &quot;0;&quot;Year &quot;\-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71320"/>
        <c:crosses val="autoZero"/>
        <c:auto val="1"/>
        <c:lblAlgn val="ctr"/>
        <c:lblOffset val="100"/>
        <c:noMultiLvlLbl val="0"/>
      </c:catAx>
      <c:valAx>
        <c:axId val="569271320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70008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77821522309713"/>
          <c:y val="2.8355934674832269E-2"/>
          <c:w val="0.68899956255468064"/>
          <c:h val="0.12390586204585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'Model-R'!$B$192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'Model-R'!$D$192:$K$192</c:f>
              <c:numCache>
                <c:formatCode>_(#,##0_);\(#,##0\);_("–"_);_(@_)</c:formatCode>
                <c:ptCount val="8"/>
                <c:pt idx="0">
                  <c:v>347568</c:v>
                </c:pt>
                <c:pt idx="1">
                  <c:v>360716</c:v>
                </c:pt>
                <c:pt idx="2">
                  <c:v>361252</c:v>
                </c:pt>
                <c:pt idx="3">
                  <c:v>375702.08</c:v>
                </c:pt>
                <c:pt idx="4">
                  <c:v>390730.16320000001</c:v>
                </c:pt>
                <c:pt idx="5">
                  <c:v>406359.36972800002</c:v>
                </c:pt>
                <c:pt idx="6">
                  <c:v>422613.74451712001</c:v>
                </c:pt>
                <c:pt idx="7">
                  <c:v>439518.29429780482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F-4EB2-B5E5-813B812A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'Model-R'!$B$194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'Model-R'!$D$194:$K$194</c:f>
              <c:numCache>
                <c:formatCode>_(#,##0.0%_);\(#,##0.0%\);_("–"_);_(@_)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EB2-B5E5-813B812AB74B}"/>
            </c:ext>
          </c:extLst>
        </c:ser>
        <c:ser>
          <c:idx val="2"/>
          <c:order val="2"/>
          <c:tx>
            <c:strRef>
              <c:f>'Model-R'!$B$197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'Model-R'!$D$197:$K$197</c:f>
              <c:numCache>
                <c:formatCode>_(#,##0.0%_);\(#,##0.0%\);_("–"_);_(@_)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F-4EB2-B5E5-813B812A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'Model-R'!$B$201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'Model-R'!$D$201:$K$201</c:f>
              <c:numCache>
                <c:formatCode>_(#,##0_);\(#,##0\);_("–"_);_(@_)</c:formatCode>
                <c:ptCount val="8"/>
                <c:pt idx="0">
                  <c:v>1767</c:v>
                </c:pt>
                <c:pt idx="1">
                  <c:v>2738</c:v>
                </c:pt>
                <c:pt idx="2">
                  <c:v>1695</c:v>
                </c:pt>
                <c:pt idx="3">
                  <c:v>2066.6666666666665</c:v>
                </c:pt>
                <c:pt idx="4">
                  <c:v>2166.5555555555552</c:v>
                </c:pt>
                <c:pt idx="5">
                  <c:v>1976.0740740740739</c:v>
                </c:pt>
                <c:pt idx="6">
                  <c:v>2069.7654320987654</c:v>
                </c:pt>
                <c:pt idx="7">
                  <c:v>2070.7983539094653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1-4192-AE10-1980072F98F2}"/>
            </c:ext>
          </c:extLst>
        </c:ser>
        <c:ser>
          <c:idx val="3"/>
          <c:order val="1"/>
          <c:tx>
            <c:strRef>
              <c:f>'Model-R'!$B$202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'Model-R'!$D$202:$K$202</c:f>
              <c:numCache>
                <c:formatCode>_(#,##0_);\(#,##0\);_("–"_);_(@_)</c:formatCode>
                <c:ptCount val="8"/>
                <c:pt idx="0">
                  <c:v>-57492</c:v>
                </c:pt>
                <c:pt idx="1">
                  <c:v>-75827</c:v>
                </c:pt>
                <c:pt idx="2">
                  <c:v>-64950</c:v>
                </c:pt>
                <c:pt idx="3">
                  <c:v>-74385.811715976699</c:v>
                </c:pt>
                <c:pt idx="4">
                  <c:v>-70599.133242439973</c:v>
                </c:pt>
                <c:pt idx="5">
                  <c:v>-81329.702696975961</c:v>
                </c:pt>
                <c:pt idx="6">
                  <c:v>-66872.814929693384</c:v>
                </c:pt>
                <c:pt idx="7">
                  <c:v>-76203.951651719515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1-4192-AE10-1980072F98F2}"/>
            </c:ext>
          </c:extLst>
        </c:ser>
        <c:ser>
          <c:idx val="0"/>
          <c:order val="2"/>
          <c:tx>
            <c:strRef>
              <c:f>'Model-R'!$B$200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1B3E70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'Model-R'!$D$200:$K$200</c:f>
              <c:numCache>
                <c:formatCode>_(#,##0_);\(#,##0\);_("–"_);_(@_)</c:formatCode>
                <c:ptCount val="8"/>
                <c:pt idx="0">
                  <c:v>-18768</c:v>
                </c:pt>
                <c:pt idx="1">
                  <c:v>-16985</c:v>
                </c:pt>
                <c:pt idx="2">
                  <c:v>-16669</c:v>
                </c:pt>
                <c:pt idx="3">
                  <c:v>-14521.787097904928</c:v>
                </c:pt>
                <c:pt idx="4">
                  <c:v>-16713.741356433598</c:v>
                </c:pt>
                <c:pt idx="5">
                  <c:v>-17483.584148850619</c:v>
                </c:pt>
                <c:pt idx="6">
                  <c:v>-18284.220652964315</c:v>
                </c:pt>
                <c:pt idx="7">
                  <c:v>-19116.882617242562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1-4192-AE10-1980072F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'Model-R'!$B$203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'Model-R'!$D$203:$K$203</c:f>
              <c:numCache>
                <c:formatCode>_(#,##0_);\(#,##0\);_("–"_);_(@_)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61-4192-AE10-1980072F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financeinstitute.com/" TargetMode="Externa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194983</xdr:colOff>
      <xdr:row>2</xdr:row>
      <xdr:rowOff>145676</xdr:rowOff>
    </xdr:from>
    <xdr:ext cx="2315314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3CE8E4B-2020-4AB8-A809-EC5EA25EFC1E}"/>
            </a:ext>
          </a:extLst>
        </xdr:cNvPr>
        <xdr:cNvSpPr txBox="1"/>
      </xdr:nvSpPr>
      <xdr:spPr>
        <a:xfrm>
          <a:off x="2189630" y="885264"/>
          <a:ext cx="231531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solidFill>
                <a:schemeClr val="bg1"/>
              </a:solidFill>
            </a:rPr>
            <a:t>Orange</a:t>
          </a:r>
          <a:r>
            <a:rPr lang="en-US" sz="2800" baseline="0">
              <a:solidFill>
                <a:schemeClr val="bg1"/>
              </a:solidFill>
            </a:rPr>
            <a:t> Jordan</a:t>
          </a:r>
          <a:endParaRPr lang="en-US" sz="28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2</xdr:col>
      <xdr:colOff>156884</xdr:colOff>
      <xdr:row>1</xdr:row>
      <xdr:rowOff>89646</xdr:rowOff>
    </xdr:from>
    <xdr:to>
      <xdr:col>2</xdr:col>
      <xdr:colOff>1176617</xdr:colOff>
      <xdr:row>5</xdr:row>
      <xdr:rowOff>123263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924ACF78-9A40-4885-866F-D70AA5EC5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0443" y="582705"/>
          <a:ext cx="1019733" cy="10197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146539</xdr:colOff>
      <xdr:row>0</xdr:row>
      <xdr:rowOff>0</xdr:rowOff>
    </xdr:from>
    <xdr:to>
      <xdr:col>1</xdr:col>
      <xdr:colOff>860809</xdr:colOff>
      <xdr:row>0</xdr:row>
      <xdr:rowOff>674242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E60F6C1E-7D6A-4504-858F-F09B96ECF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567" y="0"/>
          <a:ext cx="714270" cy="6742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146539</xdr:colOff>
      <xdr:row>0</xdr:row>
      <xdr:rowOff>0</xdr:rowOff>
    </xdr:from>
    <xdr:to>
      <xdr:col>2</xdr:col>
      <xdr:colOff>251209</xdr:colOff>
      <xdr:row>1</xdr:row>
      <xdr:rowOff>10466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3C853EF-6979-5528-B78C-C6E42AAFC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3627" y="0"/>
          <a:ext cx="711758" cy="743158"/>
        </a:xfrm>
        <a:prstGeom prst="rect">
          <a:avLst/>
        </a:prstGeom>
      </xdr:spPr>
    </xdr:pic>
    <xdr:clientData/>
  </xdr:twoCellAnchor>
  <xdr:twoCellAnchor>
    <xdr:from>
      <xdr:col>1</xdr:col>
      <xdr:colOff>56110</xdr:colOff>
      <xdr:row>3</xdr:row>
      <xdr:rowOff>85090</xdr:rowOff>
    </xdr:from>
    <xdr:to>
      <xdr:col>5</xdr:col>
      <xdr:colOff>523352</xdr:colOff>
      <xdr:row>18</xdr:row>
      <xdr:rowOff>149051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560B87-29A0-4AAB-8E10-5EB011A3F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6840</xdr:colOff>
      <xdr:row>3</xdr:row>
      <xdr:rowOff>96405</xdr:rowOff>
    </xdr:from>
    <xdr:to>
      <xdr:col>13</xdr:col>
      <xdr:colOff>607087</xdr:colOff>
      <xdr:row>18</xdr:row>
      <xdr:rowOff>162906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277714-818E-41AF-AA99-32BF98E51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297656</xdr:colOff>
      <xdr:row>21</xdr:row>
      <xdr:rowOff>69055</xdr:rowOff>
    </xdr:from>
    <xdr:to>
      <xdr:col>6</xdr:col>
      <xdr:colOff>293076</xdr:colOff>
      <xdr:row>34</xdr:row>
      <xdr:rowOff>31400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136A49-A3C0-4AED-B12B-11D43A6DC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0.51823</cdr:x>
      <cdr:y>0.20532</cdr:y>
    </cdr:from>
    <cdr:to>
      <cdr:x>0.51997</cdr:x>
      <cdr:y>0.85404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6405B55-5D03-4F59-9EAC-97C64AB5A9A8}"/>
            </a:ext>
          </a:extLst>
        </cdr:cNvPr>
        <cdr:cNvCxnSpPr/>
      </cdr:nvCxnSpPr>
      <cdr:spPr>
        <a:xfrm xmlns:a="http://schemas.openxmlformats.org/drawingml/2006/main">
          <a:off x="2369343" y="502444"/>
          <a:ext cx="7938" cy="15875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6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56110</xdr:colOff>
      <xdr:row>206</xdr:row>
      <xdr:rowOff>85090</xdr:rowOff>
    </xdr:from>
    <xdr:to>
      <xdr:col>4</xdr:col>
      <xdr:colOff>900198</xdr:colOff>
      <xdr:row>221</xdr:row>
      <xdr:rowOff>149051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32C6F-041E-47AC-9B20-314430624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871104</xdr:colOff>
      <xdr:row>206</xdr:row>
      <xdr:rowOff>96405</xdr:rowOff>
    </xdr:from>
    <xdr:to>
      <xdr:col>11</xdr:col>
      <xdr:colOff>46181</xdr:colOff>
      <xdr:row>221</xdr:row>
      <xdr:rowOff>162906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3821A-EFF6-4BB9-8204-EFFA390E7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130967</xdr:colOff>
      <xdr:row>0</xdr:row>
      <xdr:rowOff>138154</xdr:rowOff>
    </xdr:from>
    <xdr:ext cx="1211037" cy="354142"/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A612BC-1B83-46B3-B39E-378EAA83E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7" y="138154"/>
          <a:ext cx="1211037" cy="35414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Dashboard%20Template%202%20-%20Complete.xlsx" TargetMode="External"/><Relationship Id="rId1" Type="http://schemas.openxmlformats.org/officeDocument/2006/relationships/externalLinkPath" Target="Dashboard%20Template%202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Dashboard_2"/>
    </sheetNames>
    <sheetDataSet>
      <sheetData sheetId="0" refreshError="1"/>
      <sheetData sheetId="1">
        <row r="5">
          <cell r="T5">
            <v>2014</v>
          </cell>
          <cell r="U5">
            <v>2015</v>
          </cell>
          <cell r="V5">
            <v>2016</v>
          </cell>
          <cell r="W5">
            <v>2017</v>
          </cell>
          <cell r="X5">
            <v>2018</v>
          </cell>
          <cell r="Y5">
            <v>2019</v>
          </cell>
          <cell r="Z5">
            <v>2020</v>
          </cell>
          <cell r="AA5">
            <v>2021</v>
          </cell>
          <cell r="AB5">
            <v>2022</v>
          </cell>
          <cell r="AC5">
            <v>2023</v>
          </cell>
        </row>
        <row r="20">
          <cell r="Q20" t="str">
            <v>Salaries and Benefits</v>
          </cell>
          <cell r="T20">
            <v>70854</v>
          </cell>
          <cell r="U20">
            <v>77974</v>
          </cell>
          <cell r="V20">
            <v>81616</v>
          </cell>
          <cell r="W20">
            <v>79006</v>
          </cell>
          <cell r="X20">
            <v>85735</v>
          </cell>
          <cell r="Y20">
            <v>93251.030800000008</v>
          </cell>
          <cell r="Z20">
            <v>99602.602844000008</v>
          </cell>
          <cell r="AA20">
            <v>109483.06949451999</v>
          </cell>
          <cell r="AB20">
            <v>113938.60019863164</v>
          </cell>
          <cell r="AC20">
            <v>122019.53279673966</v>
          </cell>
        </row>
        <row r="21">
          <cell r="Q21" t="str">
            <v>Rent and Overhead</v>
          </cell>
          <cell r="T21">
            <v>32789</v>
          </cell>
          <cell r="U21">
            <v>35375</v>
          </cell>
          <cell r="V21">
            <v>35261</v>
          </cell>
          <cell r="W21">
            <v>38060</v>
          </cell>
          <cell r="X21">
            <v>39236</v>
          </cell>
          <cell r="Y21">
            <v>41211</v>
          </cell>
          <cell r="Z21">
            <v>40518</v>
          </cell>
          <cell r="AA21">
            <v>43010</v>
          </cell>
          <cell r="AB21">
            <v>43800</v>
          </cell>
          <cell r="AC21">
            <v>55000</v>
          </cell>
        </row>
        <row r="22">
          <cell r="Q22" t="str">
            <v>Depreciation &amp; Amortization</v>
          </cell>
          <cell r="T22">
            <v>48741</v>
          </cell>
          <cell r="U22">
            <v>54450</v>
          </cell>
          <cell r="V22">
            <v>51615</v>
          </cell>
          <cell r="W22">
            <v>49630.5</v>
          </cell>
          <cell r="X22">
            <v>48241.35</v>
          </cell>
          <cell r="Y22">
            <v>36770.629000000001</v>
          </cell>
          <cell r="Z22">
            <v>41076.371950000001</v>
          </cell>
          <cell r="AA22">
            <v>43979.609285700004</v>
          </cell>
          <cell r="AB22">
            <v>45937.574249118996</v>
          </cell>
          <cell r="AC22">
            <v>47258.297154765089</v>
          </cell>
        </row>
        <row r="23">
          <cell r="Q23" t="str">
            <v>Interest</v>
          </cell>
          <cell r="T23">
            <v>7500</v>
          </cell>
          <cell r="U23">
            <v>7500</v>
          </cell>
          <cell r="V23">
            <v>4500</v>
          </cell>
          <cell r="W23">
            <v>4500</v>
          </cell>
          <cell r="X23">
            <v>4500</v>
          </cell>
          <cell r="Y23">
            <v>8100</v>
          </cell>
          <cell r="Z23">
            <v>8100</v>
          </cell>
          <cell r="AA23">
            <v>8100</v>
          </cell>
          <cell r="AB23">
            <v>8100</v>
          </cell>
          <cell r="AC23">
            <v>10100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00F9-F2A1-450C-B712-516AA8D9F895}">
  <sheetPr>
    <pageSetUpPr fitToPage="1"/>
  </sheetPr>
  <dimension ref="A1:W42"/>
  <sheetViews>
    <sheetView showGridLines="0" tabSelected="1" zoomScale="85" zoomScaleNormal="100" zoomScaleSheetLayoutView="85" workbookViewId="0"/>
  </sheetViews>
  <sheetFormatPr defaultColWidth="9.7109375" defaultRowHeight="19.5" customHeight="1"/>
  <cols>
    <col min="1" max="1" width="5" style="1" customWidth="1"/>
    <col min="2" max="2" width="5.140625" style="1" customWidth="1"/>
    <col min="3" max="3" width="19.7109375" style="1" customWidth="1"/>
    <col min="4" max="7" width="11.28515625" style="1" customWidth="1"/>
    <col min="8" max="8" width="19.7109375" style="1" customWidth="1"/>
    <col min="9" max="11" width="11.28515625" style="1" customWidth="1"/>
    <col min="12" max="12" width="27.140625" style="1" customWidth="1"/>
    <col min="13" max="13" width="28.140625" style="1" customWidth="1"/>
    <col min="14" max="14" width="11.28515625" style="1" customWidth="1"/>
    <col min="15" max="15" width="5.140625" style="1" customWidth="1"/>
    <col min="16" max="16" width="11.5703125" style="1" customWidth="1"/>
    <col min="17" max="16384" width="9.7109375" style="1"/>
  </cols>
  <sheetData>
    <row r="1" spans="1:18" ht="19.5" customHeight="1">
      <c r="A1" s="7"/>
      <c r="B1" s="247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48"/>
      <c r="N1" s="7"/>
      <c r="O1" s="7"/>
      <c r="P1" s="7"/>
      <c r="Q1" s="7"/>
      <c r="R1" s="7"/>
    </row>
    <row r="2" spans="1:18" ht="19.5" customHeight="1">
      <c r="A2" s="7"/>
      <c r="B2" s="247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48"/>
      <c r="N2" s="7"/>
      <c r="O2" s="7"/>
      <c r="P2" s="7"/>
      <c r="Q2" s="7"/>
      <c r="R2" s="7"/>
    </row>
    <row r="3" spans="1:18" ht="19.5" customHeight="1">
      <c r="A3" s="7"/>
      <c r="B3" s="247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48"/>
      <c r="N3" s="7"/>
      <c r="O3" s="7"/>
      <c r="P3" s="7"/>
      <c r="Q3" s="7"/>
      <c r="R3" s="7"/>
    </row>
    <row r="4" spans="1:18" ht="19.5" customHeight="1">
      <c r="A4" s="7"/>
      <c r="B4" s="247"/>
      <c r="C4" s="211"/>
      <c r="D4" s="210"/>
      <c r="E4" s="210"/>
      <c r="F4" s="210"/>
      <c r="G4" s="210"/>
      <c r="H4" s="210"/>
      <c r="I4" s="210"/>
      <c r="J4" s="210"/>
      <c r="K4" s="210"/>
      <c r="L4" s="210"/>
      <c r="M4" s="248"/>
      <c r="N4" s="7"/>
      <c r="O4" s="7"/>
      <c r="P4" s="7"/>
      <c r="Q4" s="7"/>
      <c r="R4" s="7"/>
    </row>
    <row r="5" spans="1:18" ht="19.5" customHeight="1">
      <c r="A5" s="7"/>
      <c r="B5" s="247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48"/>
      <c r="N5" s="7"/>
      <c r="O5" s="7"/>
      <c r="P5" s="7"/>
      <c r="Q5" s="7"/>
      <c r="R5" s="7"/>
    </row>
    <row r="6" spans="1:18" ht="19.5" customHeight="1">
      <c r="A6" s="7"/>
      <c r="B6" s="247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48"/>
      <c r="N6" s="7"/>
      <c r="O6" s="7"/>
      <c r="P6" s="7"/>
      <c r="Q6" s="7"/>
      <c r="R6" s="7"/>
    </row>
    <row r="7" spans="1:18" ht="19.5" customHeight="1">
      <c r="A7" s="7"/>
      <c r="B7" s="247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48"/>
      <c r="N7" s="7"/>
      <c r="O7" s="7"/>
      <c r="P7" s="7"/>
      <c r="Q7" s="7"/>
      <c r="R7" s="7"/>
    </row>
    <row r="8" spans="1:18" ht="19.5" customHeight="1">
      <c r="A8" s="7"/>
      <c r="B8" s="229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230"/>
      <c r="N8" s="7"/>
      <c r="O8" s="7"/>
      <c r="P8" s="7"/>
      <c r="Q8" s="7"/>
      <c r="R8" s="7"/>
    </row>
    <row r="9" spans="1:18" ht="27.75" customHeight="1">
      <c r="A9" s="7"/>
      <c r="B9" s="249"/>
      <c r="C9" s="250" t="s">
        <v>2</v>
      </c>
      <c r="D9" s="251"/>
      <c r="E9" s="251"/>
      <c r="F9" s="251"/>
      <c r="G9" s="151"/>
      <c r="H9" s="151"/>
      <c r="I9" s="151"/>
      <c r="J9" s="151"/>
      <c r="K9" s="151"/>
      <c r="L9" s="151"/>
      <c r="M9" s="230"/>
      <c r="N9" s="7"/>
      <c r="O9" s="7"/>
      <c r="P9" s="7"/>
      <c r="Q9" s="7"/>
      <c r="R9" s="7"/>
    </row>
    <row r="10" spans="1:18" ht="19.5" customHeight="1">
      <c r="A10" s="7"/>
      <c r="B10" s="229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230"/>
      <c r="N10" s="7"/>
      <c r="O10" s="7"/>
      <c r="P10" s="7"/>
      <c r="Q10" s="7"/>
      <c r="R10" s="7"/>
    </row>
    <row r="11" spans="1:18" ht="28.5" customHeight="1">
      <c r="A11" s="7"/>
      <c r="B11" s="229"/>
      <c r="C11" s="231" t="s">
        <v>144</v>
      </c>
      <c r="D11" s="231"/>
      <c r="E11" s="151"/>
      <c r="F11" s="151"/>
      <c r="G11" s="151"/>
      <c r="H11" s="151"/>
      <c r="I11" s="151"/>
      <c r="J11" s="151"/>
      <c r="K11" s="232" t="s">
        <v>152</v>
      </c>
      <c r="L11" s="233"/>
      <c r="M11" s="230"/>
      <c r="N11" s="7"/>
      <c r="O11" s="7"/>
      <c r="P11" s="7"/>
      <c r="Q11" s="7"/>
      <c r="R11" s="7"/>
    </row>
    <row r="12" spans="1:18" ht="19.5" customHeight="1">
      <c r="A12" s="7"/>
      <c r="B12" s="229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230"/>
      <c r="N12" s="7"/>
      <c r="O12" s="7"/>
      <c r="P12" s="7"/>
      <c r="Q12" s="7"/>
      <c r="R12" s="7"/>
    </row>
    <row r="13" spans="1:18" ht="19.5" customHeight="1">
      <c r="A13" s="7"/>
      <c r="B13" s="229"/>
      <c r="C13" s="252" t="s">
        <v>1</v>
      </c>
      <c r="D13" s="151"/>
      <c r="E13" s="151"/>
      <c r="F13" s="151"/>
      <c r="G13" s="151"/>
      <c r="H13" s="151"/>
      <c r="I13" s="151"/>
      <c r="J13" s="151"/>
      <c r="K13" s="235" t="s">
        <v>153</v>
      </c>
      <c r="L13" s="236"/>
      <c r="M13" s="230"/>
      <c r="N13" s="7"/>
      <c r="O13" s="7"/>
      <c r="P13" s="7"/>
      <c r="Q13" s="7"/>
      <c r="R13" s="7"/>
    </row>
    <row r="14" spans="1:18" ht="19.5" customHeight="1">
      <c r="A14" s="7"/>
      <c r="B14" s="229"/>
      <c r="C14" s="252" t="s">
        <v>155</v>
      </c>
      <c r="D14" s="151"/>
      <c r="E14" s="151"/>
      <c r="F14" s="218"/>
      <c r="G14" s="234"/>
      <c r="H14" s="151"/>
      <c r="I14" s="151"/>
      <c r="J14" s="151"/>
      <c r="K14" s="235" t="s">
        <v>145</v>
      </c>
      <c r="L14" s="151"/>
      <c r="M14" s="230"/>
      <c r="N14" s="7"/>
      <c r="O14" s="7"/>
      <c r="P14" s="7"/>
      <c r="Q14" s="7"/>
      <c r="R14" s="7"/>
    </row>
    <row r="15" spans="1:18" ht="19.5" customHeight="1">
      <c r="A15" s="7"/>
      <c r="B15" s="229"/>
      <c r="C15" s="234"/>
      <c r="D15" s="151"/>
      <c r="E15" s="151"/>
      <c r="F15" s="151"/>
      <c r="G15" s="234"/>
      <c r="H15" s="151"/>
      <c r="I15" s="151"/>
      <c r="J15" s="151"/>
      <c r="K15" s="235" t="s">
        <v>154</v>
      </c>
      <c r="L15" s="151"/>
      <c r="M15" s="230"/>
      <c r="N15" s="7"/>
      <c r="O15" s="7"/>
      <c r="P15" s="7"/>
      <c r="Q15" s="7"/>
      <c r="R15" s="7"/>
    </row>
    <row r="16" spans="1:18" ht="19.5" customHeight="1">
      <c r="A16" s="7"/>
      <c r="B16" s="229"/>
      <c r="C16" s="234"/>
      <c r="D16" s="151"/>
      <c r="E16" s="151"/>
      <c r="F16" s="151"/>
      <c r="G16" s="234"/>
      <c r="H16" s="151"/>
      <c r="I16" s="151"/>
      <c r="J16" s="151"/>
      <c r="K16" s="235"/>
      <c r="L16" s="151"/>
      <c r="M16" s="230"/>
      <c r="N16" s="7"/>
      <c r="O16" s="7"/>
      <c r="P16" s="7"/>
      <c r="Q16" s="7"/>
      <c r="R16" s="7"/>
    </row>
    <row r="17" spans="1:23" ht="19.5" customHeight="1">
      <c r="A17" s="7"/>
      <c r="B17" s="229"/>
      <c r="C17" s="237" t="s">
        <v>156</v>
      </c>
      <c r="D17" s="238"/>
      <c r="E17" s="238"/>
      <c r="F17" s="238"/>
      <c r="G17" s="234"/>
      <c r="H17" s="151"/>
      <c r="I17" s="151"/>
      <c r="J17" s="151"/>
      <c r="M17" s="230"/>
      <c r="N17" s="7"/>
      <c r="O17" s="7"/>
      <c r="P17" s="7"/>
      <c r="Q17" s="7"/>
      <c r="R17" s="7"/>
    </row>
    <row r="18" spans="1:23" ht="19.5" customHeight="1">
      <c r="A18" s="7"/>
      <c r="B18" s="229"/>
      <c r="C18" s="237" t="s">
        <v>157</v>
      </c>
      <c r="D18" s="238"/>
      <c r="E18" s="238"/>
      <c r="F18" s="238"/>
      <c r="G18" s="234"/>
      <c r="H18" s="151"/>
      <c r="I18" s="151"/>
      <c r="J18" s="151"/>
      <c r="K18" s="235"/>
      <c r="L18" s="151"/>
      <c r="M18" s="230"/>
      <c r="N18" s="7"/>
      <c r="O18" s="7"/>
      <c r="P18" s="7"/>
      <c r="Q18" s="7"/>
      <c r="R18" s="7"/>
    </row>
    <row r="19" spans="1:23" ht="19.5" customHeight="1">
      <c r="A19" s="7"/>
      <c r="B19" s="229"/>
      <c r="C19" s="237" t="s">
        <v>158</v>
      </c>
      <c r="D19" s="238"/>
      <c r="E19" s="238"/>
      <c r="F19" s="238"/>
      <c r="G19" s="151"/>
      <c r="H19" s="151"/>
      <c r="I19" s="151"/>
      <c r="J19" s="151"/>
      <c r="K19" s="239" t="s">
        <v>146</v>
      </c>
      <c r="L19" s="240" t="s">
        <v>147</v>
      </c>
      <c r="M19" s="230"/>
      <c r="N19" s="7"/>
      <c r="O19" s="7"/>
      <c r="P19" s="7"/>
      <c r="Q19" s="7"/>
      <c r="R19" s="7"/>
    </row>
    <row r="20" spans="1:23" ht="19.5" customHeight="1">
      <c r="A20" s="7"/>
      <c r="B20" s="229"/>
      <c r="C20" s="237" t="s">
        <v>159</v>
      </c>
      <c r="D20" s="238"/>
      <c r="E20" s="238"/>
      <c r="F20" s="238"/>
      <c r="G20" s="151"/>
      <c r="H20" s="151"/>
      <c r="I20" s="151"/>
      <c r="J20" s="151"/>
      <c r="K20" s="241" t="s">
        <v>148</v>
      </c>
      <c r="L20" s="242" t="s">
        <v>149</v>
      </c>
      <c r="M20" s="230"/>
      <c r="N20" s="7"/>
      <c r="O20" s="7"/>
      <c r="P20" s="7"/>
      <c r="Q20" s="7"/>
      <c r="R20" s="7"/>
    </row>
    <row r="21" spans="1:23" ht="19.5" customHeight="1">
      <c r="A21" s="7"/>
      <c r="B21" s="229"/>
      <c r="C21" s="237" t="s">
        <v>160</v>
      </c>
      <c r="D21" s="238"/>
      <c r="E21" s="238"/>
      <c r="F21" s="238"/>
      <c r="G21" s="151"/>
      <c r="H21" s="151"/>
      <c r="I21" s="151"/>
      <c r="J21" s="151"/>
      <c r="K21" s="239" t="s">
        <v>150</v>
      </c>
      <c r="L21" s="243" t="s">
        <v>151</v>
      </c>
      <c r="M21" s="230"/>
      <c r="N21" s="7"/>
      <c r="O21" s="7"/>
      <c r="P21" s="7"/>
      <c r="Q21" s="7"/>
      <c r="R21" s="7"/>
    </row>
    <row r="22" spans="1:23" ht="19.5" customHeight="1">
      <c r="A22" s="7"/>
      <c r="B22" s="229"/>
      <c r="F22" s="151"/>
      <c r="G22" s="151"/>
      <c r="H22" s="151"/>
      <c r="I22" s="151"/>
      <c r="J22" s="151"/>
      <c r="M22" s="230"/>
      <c r="N22" s="7"/>
      <c r="O22" s="7"/>
      <c r="P22" s="7"/>
      <c r="Q22" s="7"/>
      <c r="R22" s="7"/>
    </row>
    <row r="23" spans="1:23" ht="19.5" customHeight="1">
      <c r="A23" s="7"/>
      <c r="B23" s="229"/>
      <c r="F23" s="151"/>
      <c r="G23" s="151"/>
      <c r="H23" s="151"/>
      <c r="I23" s="151"/>
      <c r="J23" s="151"/>
      <c r="M23" s="230"/>
      <c r="N23" s="7"/>
      <c r="O23" s="7"/>
      <c r="P23" s="7"/>
      <c r="Q23" s="7"/>
      <c r="R23" s="7"/>
      <c r="W23" s="4"/>
    </row>
    <row r="24" spans="1:23" ht="19.5" customHeight="1">
      <c r="A24" s="7"/>
      <c r="B24" s="229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230"/>
      <c r="N24" s="7"/>
      <c r="O24" s="7"/>
      <c r="P24" s="7"/>
      <c r="Q24" s="7"/>
      <c r="R24" s="7"/>
    </row>
    <row r="25" spans="1:23" ht="19.5" customHeight="1">
      <c r="A25" s="7"/>
      <c r="B25" s="229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230"/>
      <c r="N25" s="7"/>
      <c r="O25" s="7"/>
      <c r="P25" s="7"/>
      <c r="Q25" s="7"/>
      <c r="R25" s="7"/>
    </row>
    <row r="26" spans="1:23" ht="19.5" customHeight="1" thickBot="1">
      <c r="A26" s="7"/>
      <c r="B26" s="244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6"/>
      <c r="N26" s="7"/>
      <c r="O26" s="7"/>
      <c r="P26" s="7"/>
      <c r="Q26" s="7"/>
      <c r="R26" s="7"/>
    </row>
    <row r="27" spans="1:23" ht="19.5" customHeight="1" thickTop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23" ht="19.5" customHeight="1">
      <c r="O28" s="7"/>
      <c r="P28" s="7"/>
      <c r="Q28" s="7"/>
      <c r="R28" s="7"/>
    </row>
    <row r="29" spans="1:23" ht="1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23" ht="19.5" customHeight="1">
      <c r="P30" s="7"/>
      <c r="Q30" s="7"/>
      <c r="R30" s="7"/>
    </row>
    <row r="31" spans="1:23" ht="1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3" ht="1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</sheetData>
  <conditionalFormatting sqref="N14">
    <cfRule type="expression" dxfId="3" priority="1">
      <formula>N14=1</formula>
    </cfRule>
  </conditionalFormatting>
  <hyperlinks>
    <hyperlink ref="C13" location="Model!A1" display="Model" xr:uid="{32D90F21-0CA1-4B63-8AE1-5387BF28AEB9}"/>
    <hyperlink ref="C14" location="Dashboard!A1" display="Dashboard" xr:uid="{73BA1B73-90D2-400E-AA47-D0BA6E9C6D30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004F-0B9F-47E5-9396-B772C460061D}">
  <dimension ref="A1:T206"/>
  <sheetViews>
    <sheetView showGridLines="0" zoomScale="89" zoomScaleNormal="100" zoomScaleSheetLayoutView="70" workbookViewId="0">
      <pane ySplit="1" topLeftCell="A2" activePane="bottomLeft" state="frozen"/>
      <selection activeCell="O203" sqref="O203"/>
      <selection pane="bottomLeft"/>
    </sheetView>
  </sheetViews>
  <sheetFormatPr defaultColWidth="9.140625" defaultRowHeight="15" customHeight="1"/>
  <cols>
    <col min="1" max="1" width="9.140625" style="8"/>
    <col min="2" max="2" width="41.140625" style="8" customWidth="1"/>
    <col min="3" max="11" width="13.140625" style="8" customWidth="1"/>
    <col min="12" max="12" width="2.42578125" style="8" customWidth="1"/>
    <col min="13" max="13" width="5.7109375" style="8" bestFit="1" customWidth="1"/>
    <col min="14" max="14" width="34.5703125" style="8" customWidth="1"/>
    <col min="15" max="16384" width="9.140625" style="8"/>
  </cols>
  <sheetData>
    <row r="1" spans="1:20" s="120" customFormat="1" ht="54.95" customHeight="1">
      <c r="A1" s="122"/>
      <c r="B1" s="213"/>
      <c r="C1" s="212" t="s">
        <v>131</v>
      </c>
      <c r="D1" s="210"/>
      <c r="E1" s="210"/>
      <c r="F1" s="210"/>
      <c r="G1" s="210"/>
      <c r="H1" s="210"/>
      <c r="I1" s="210"/>
      <c r="J1" s="210"/>
      <c r="K1" s="210"/>
      <c r="L1" s="179"/>
      <c r="M1" s="179"/>
      <c r="N1" s="179"/>
      <c r="O1" s="122"/>
      <c r="R1" s="121"/>
    </row>
    <row r="3" spans="1:20" s="12" customFormat="1" ht="15" customHeight="1">
      <c r="A3" s="12" t="s">
        <v>0</v>
      </c>
      <c r="B3" s="214" t="s">
        <v>104</v>
      </c>
      <c r="C3" s="214"/>
      <c r="D3" s="214"/>
      <c r="E3" s="214"/>
      <c r="F3" s="214"/>
      <c r="G3" s="214"/>
      <c r="H3" s="214"/>
      <c r="I3" s="214"/>
      <c r="J3" s="214"/>
      <c r="K3" s="214"/>
      <c r="L3" s="8"/>
      <c r="N3" s="8"/>
    </row>
    <row r="4" spans="1:20" ht="15" customHeight="1">
      <c r="B4" s="17"/>
      <c r="C4" s="17"/>
      <c r="G4" s="97"/>
      <c r="H4" s="97"/>
      <c r="I4" s="97"/>
      <c r="J4" s="97"/>
      <c r="K4" s="97"/>
    </row>
    <row r="5" spans="1:20" s="108" customFormat="1" ht="15" customHeight="1" thickBot="1">
      <c r="A5" s="109"/>
      <c r="B5" s="24" t="s">
        <v>130</v>
      </c>
      <c r="C5" s="24"/>
      <c r="D5" s="26">
        <v>2022</v>
      </c>
      <c r="E5" s="26">
        <f t="shared" ref="E5:K5" si="0">+D5+1</f>
        <v>2023</v>
      </c>
      <c r="F5" s="26">
        <f t="shared" si="0"/>
        <v>2024</v>
      </c>
      <c r="G5" s="25">
        <f t="shared" si="0"/>
        <v>2025</v>
      </c>
      <c r="H5" s="25">
        <f t="shared" si="0"/>
        <v>2026</v>
      </c>
      <c r="I5" s="25">
        <f t="shared" si="0"/>
        <v>2027</v>
      </c>
      <c r="J5" s="25">
        <f t="shared" si="0"/>
        <v>2028</v>
      </c>
      <c r="K5" s="25">
        <f t="shared" si="0"/>
        <v>2029</v>
      </c>
      <c r="L5" s="8"/>
      <c r="M5" s="109"/>
      <c r="N5" s="109"/>
      <c r="O5" s="109"/>
      <c r="P5" s="109"/>
      <c r="Q5" s="109"/>
      <c r="R5" s="109"/>
    </row>
    <row r="6" spans="1:20" ht="15" customHeight="1">
      <c r="B6" s="17"/>
      <c r="C6" s="17"/>
      <c r="G6" s="97"/>
      <c r="H6" s="97"/>
      <c r="I6" s="97"/>
      <c r="J6" s="97"/>
      <c r="K6" s="97"/>
    </row>
    <row r="7" spans="1:20" ht="15" customHeight="1">
      <c r="B7" s="17" t="s">
        <v>50</v>
      </c>
      <c r="C7" s="17"/>
      <c r="D7" s="86">
        <v>365</v>
      </c>
      <c r="E7" s="86">
        <v>365</v>
      </c>
      <c r="F7" s="86">
        <v>365</v>
      </c>
      <c r="G7" s="86">
        <v>365</v>
      </c>
      <c r="H7" s="86">
        <v>365</v>
      </c>
      <c r="I7" s="86">
        <v>365</v>
      </c>
      <c r="J7" s="86">
        <v>365</v>
      </c>
      <c r="K7" s="86">
        <v>365</v>
      </c>
      <c r="N7" s="17"/>
    </row>
    <row r="9" spans="1:20" ht="15" customHeight="1">
      <c r="B9" s="17" t="s">
        <v>4</v>
      </c>
      <c r="C9" s="17"/>
      <c r="E9" s="118"/>
      <c r="G9" s="97"/>
      <c r="H9" s="97"/>
      <c r="I9" s="97"/>
      <c r="J9" s="97"/>
      <c r="K9" s="97"/>
    </row>
    <row r="10" spans="1:20" ht="15" customHeight="1">
      <c r="B10" s="15" t="s">
        <v>103</v>
      </c>
      <c r="C10" s="15"/>
      <c r="D10" s="152"/>
      <c r="E10" s="153">
        <f>E32/D32-1</f>
        <v>3.782856879804819E-2</v>
      </c>
      <c r="F10" s="153">
        <f>F32/E32-1</f>
        <v>1.485933532197059E-3</v>
      </c>
      <c r="G10" s="154">
        <v>0.04</v>
      </c>
      <c r="H10" s="154">
        <v>0.04</v>
      </c>
      <c r="I10" s="154">
        <v>0.04</v>
      </c>
      <c r="J10" s="154">
        <v>0.04</v>
      </c>
      <c r="K10" s="154">
        <v>0.04</v>
      </c>
      <c r="M10" s="13"/>
      <c r="N10" s="15"/>
    </row>
    <row r="11" spans="1:20" ht="15" customHeight="1">
      <c r="B11" s="15" t="s">
        <v>102</v>
      </c>
      <c r="C11" s="15"/>
      <c r="D11" s="153">
        <f>D34/D32</f>
        <v>0.63944033973208125</v>
      </c>
      <c r="E11" s="153">
        <f>E34/E32</f>
        <v>0.63354273167810693</v>
      </c>
      <c r="F11" s="153">
        <f>F34/F32</f>
        <v>0.65060124234606309</v>
      </c>
      <c r="G11" s="160">
        <f>AVERAGE($D$11:$F$11)</f>
        <v>0.64119477125208368</v>
      </c>
      <c r="H11" s="160">
        <f t="shared" ref="H11:K11" si="1">AVERAGE($D$11:$F$11)</f>
        <v>0.64119477125208368</v>
      </c>
      <c r="I11" s="160">
        <f t="shared" si="1"/>
        <v>0.64119477125208368</v>
      </c>
      <c r="J11" s="160">
        <f t="shared" si="1"/>
        <v>0.64119477125208368</v>
      </c>
      <c r="K11" s="160">
        <f t="shared" si="1"/>
        <v>0.64119477125208368</v>
      </c>
      <c r="M11" s="13"/>
      <c r="N11" s="15"/>
    </row>
    <row r="12" spans="1:20" ht="15" customHeight="1">
      <c r="B12" s="15" t="s">
        <v>110</v>
      </c>
      <c r="C12" s="15"/>
      <c r="D12" s="153">
        <f>D36/D32*-1</f>
        <v>0.24840894443677208</v>
      </c>
      <c r="E12" s="153">
        <f>E36/E32*-1</f>
        <v>0.22750030494904577</v>
      </c>
      <c r="F12" s="153">
        <f>F36/F32*-1</f>
        <v>0.23810248801390718</v>
      </c>
      <c r="G12" s="160">
        <f>AVERAGE($D$12:$F$12)</f>
        <v>0.23800391246657501</v>
      </c>
      <c r="H12" s="160">
        <f t="shared" ref="H12:K12" si="2">AVERAGE($D$12:$F$12)</f>
        <v>0.23800391246657501</v>
      </c>
      <c r="I12" s="160">
        <f t="shared" si="2"/>
        <v>0.23800391246657501</v>
      </c>
      <c r="J12" s="160">
        <f t="shared" si="2"/>
        <v>0.23800391246657501</v>
      </c>
      <c r="K12" s="160">
        <f t="shared" si="2"/>
        <v>0.23800391246657501</v>
      </c>
      <c r="M12" s="13"/>
      <c r="N12" s="15"/>
    </row>
    <row r="13" spans="1:20" ht="15" customHeight="1">
      <c r="B13" s="15" t="s">
        <v>111</v>
      </c>
      <c r="C13" s="15"/>
      <c r="D13" s="153">
        <f>D37/D32*-1</f>
        <v>0.24653305252497354</v>
      </c>
      <c r="E13" s="153">
        <f>E37/E32*-1</f>
        <v>0.23009791636633806</v>
      </c>
      <c r="F13" s="153">
        <f>F37/F32*-1</f>
        <v>0.22338976670025357</v>
      </c>
      <c r="G13" s="160">
        <f>AVERAGE($D$13:$F$13)</f>
        <v>0.23334024519718841</v>
      </c>
      <c r="H13" s="160">
        <f t="shared" ref="H13:K13" si="3">AVERAGE($D$13:$F$13)</f>
        <v>0.23334024519718841</v>
      </c>
      <c r="I13" s="160">
        <f t="shared" si="3"/>
        <v>0.23334024519718841</v>
      </c>
      <c r="J13" s="160">
        <f t="shared" si="3"/>
        <v>0.23334024519718841</v>
      </c>
      <c r="K13" s="160">
        <f t="shared" si="3"/>
        <v>0.23334024519718841</v>
      </c>
      <c r="M13" s="13"/>
      <c r="N13" s="15"/>
      <c r="P13" s="116"/>
      <c r="Q13" s="116"/>
      <c r="R13" s="116"/>
      <c r="S13" s="116"/>
      <c r="T13" s="116"/>
    </row>
    <row r="14" spans="1:20" ht="15" customHeight="1">
      <c r="B14" s="15" t="s">
        <v>98</v>
      </c>
      <c r="C14" s="15"/>
      <c r="D14" s="153">
        <f>D40/AVERAGE(C72:D72)</f>
        <v>0.45410889659156556</v>
      </c>
      <c r="E14" s="153">
        <f>-E40/AVERAGE(D72:E72)</f>
        <v>5.1683965261597117E-2</v>
      </c>
      <c r="F14" s="153">
        <f>-F40/AVERAGE(E72:F72)</f>
        <v>0.28349611820686199</v>
      </c>
      <c r="G14" s="161">
        <f>AVERAGE($D$14:$F$14)</f>
        <v>0.26309632668667488</v>
      </c>
      <c r="H14" s="161">
        <f t="shared" ref="H14:K14" si="4">AVERAGE($D$14:$F$14)</f>
        <v>0.26309632668667488</v>
      </c>
      <c r="I14" s="161">
        <f t="shared" si="4"/>
        <v>0.26309632668667488</v>
      </c>
      <c r="J14" s="161">
        <f t="shared" si="4"/>
        <v>0.26309632668667488</v>
      </c>
      <c r="K14" s="161">
        <f t="shared" si="4"/>
        <v>0.26309632668667488</v>
      </c>
      <c r="M14" s="13"/>
      <c r="N14" s="15"/>
    </row>
    <row r="15" spans="1:20" ht="15" customHeight="1">
      <c r="B15" s="15" t="s">
        <v>97</v>
      </c>
      <c r="C15" s="15"/>
      <c r="D15" s="153">
        <f>D43/D41*-1</f>
        <v>0.29885350318471338</v>
      </c>
      <c r="E15" s="153">
        <f>E43/E41*-1</f>
        <v>0.27074632575636814</v>
      </c>
      <c r="F15" s="153">
        <f>F43/F41*-1</f>
        <v>0.28676369391687312</v>
      </c>
      <c r="G15" s="161">
        <v>0.28999999999999998</v>
      </c>
      <c r="H15" s="161">
        <v>0.28999999999999998</v>
      </c>
      <c r="I15" s="161">
        <v>0.28999999999999998</v>
      </c>
      <c r="J15" s="161">
        <v>0.28999999999999998</v>
      </c>
      <c r="K15" s="161">
        <v>0.28999999999999998</v>
      </c>
      <c r="M15" s="13"/>
      <c r="N15" s="15"/>
    </row>
    <row r="16" spans="1:20" ht="15" customHeight="1">
      <c r="D16" s="155"/>
      <c r="E16" s="155"/>
      <c r="F16" s="155"/>
      <c r="G16" s="162"/>
      <c r="H16" s="162"/>
      <c r="I16" s="162"/>
      <c r="J16" s="162"/>
      <c r="K16" s="162"/>
      <c r="M16" s="13"/>
      <c r="N16" s="15"/>
    </row>
    <row r="17" spans="1:14" ht="15" customHeight="1">
      <c r="B17" s="17" t="s">
        <v>81</v>
      </c>
      <c r="C17" s="17"/>
      <c r="D17" s="156"/>
      <c r="E17" s="155"/>
      <c r="F17" s="155"/>
      <c r="G17" s="162"/>
      <c r="H17" s="162"/>
      <c r="I17" s="162"/>
      <c r="J17" s="162"/>
      <c r="K17" s="162"/>
      <c r="M17" s="13"/>
      <c r="N17" s="15"/>
    </row>
    <row r="18" spans="1:14" ht="15" customHeight="1">
      <c r="B18" s="15" t="s">
        <v>37</v>
      </c>
      <c r="C18" s="57" t="s">
        <v>36</v>
      </c>
      <c r="D18" s="157">
        <f>D32/D61</f>
        <v>1.3175336047490163</v>
      </c>
      <c r="E18" s="157">
        <f>E32/E61</f>
        <v>1.2490901472732121</v>
      </c>
      <c r="F18" s="157">
        <f>F32/F61</f>
        <v>1.2007911050540976</v>
      </c>
      <c r="G18" s="163">
        <f>AVERAGE($D$18:$F$18)</f>
        <v>1.2558049523587753</v>
      </c>
      <c r="H18" s="163">
        <f t="shared" ref="H18:K18" si="5">AVERAGE($D$18:$F$18)</f>
        <v>1.2558049523587753</v>
      </c>
      <c r="I18" s="163">
        <f t="shared" si="5"/>
        <v>1.2558049523587753</v>
      </c>
      <c r="J18" s="163">
        <f t="shared" si="5"/>
        <v>1.2558049523587753</v>
      </c>
      <c r="K18" s="163">
        <f t="shared" si="5"/>
        <v>1.2558049523587753</v>
      </c>
      <c r="N18" s="15"/>
    </row>
    <row r="19" spans="1:14" ht="15" customHeight="1">
      <c r="B19" s="15" t="s">
        <v>96</v>
      </c>
      <c r="C19" s="57" t="s">
        <v>47</v>
      </c>
      <c r="D19" s="158">
        <f>D56/D32*D7</f>
        <v>113.82726545596833</v>
      </c>
      <c r="E19" s="158">
        <f>E56/E32*E7</f>
        <v>124.21693243438051</v>
      </c>
      <c r="F19" s="158">
        <f>F56/F32*F7</f>
        <v>127.4588099166233</v>
      </c>
      <c r="G19" s="164">
        <f>AVERAGE($D$19:$F$19)</f>
        <v>121.83433593565739</v>
      </c>
      <c r="H19" s="164">
        <f t="shared" ref="H19:K19" si="6">AVERAGE($D$19:$F$19)</f>
        <v>121.83433593565739</v>
      </c>
      <c r="I19" s="164">
        <f t="shared" si="6"/>
        <v>121.83433593565739</v>
      </c>
      <c r="J19" s="164">
        <f t="shared" si="6"/>
        <v>121.83433593565739</v>
      </c>
      <c r="K19" s="164">
        <f t="shared" si="6"/>
        <v>121.83433593565739</v>
      </c>
      <c r="N19" s="15"/>
    </row>
    <row r="20" spans="1:14" ht="15" customHeight="1">
      <c r="B20" s="15" t="s">
        <v>95</v>
      </c>
      <c r="C20" s="57" t="s">
        <v>47</v>
      </c>
      <c r="D20" s="158">
        <f>D57/-D33*D7</f>
        <v>36.069231321667104</v>
      </c>
      <c r="E20" s="158">
        <f>E57/-E33*E7</f>
        <v>33.529734391430317</v>
      </c>
      <c r="F20" s="158">
        <f>F57/-F33*F7</f>
        <v>29.735899731423459</v>
      </c>
      <c r="G20" s="164">
        <f>AVERAGE($D$20:$F$20)</f>
        <v>33.111621814840291</v>
      </c>
      <c r="H20" s="164">
        <f t="shared" ref="H20:K20" si="7">AVERAGE($D$20:$F$20)</f>
        <v>33.111621814840291</v>
      </c>
      <c r="I20" s="164">
        <f t="shared" si="7"/>
        <v>33.111621814840291</v>
      </c>
      <c r="J20" s="164">
        <f t="shared" si="7"/>
        <v>33.111621814840291</v>
      </c>
      <c r="K20" s="164">
        <f t="shared" si="7"/>
        <v>33.111621814840291</v>
      </c>
      <c r="M20" s="13"/>
      <c r="N20" s="15"/>
    </row>
    <row r="21" spans="1:14" ht="15" customHeight="1">
      <c r="B21" s="15" t="s">
        <v>94</v>
      </c>
      <c r="C21" s="57" t="s">
        <v>47</v>
      </c>
      <c r="D21" s="158">
        <f>D66/-D33*D7</f>
        <v>339.70726705447697</v>
      </c>
      <c r="E21" s="158">
        <f>E66/-E33*E7</f>
        <v>349.02622799518861</v>
      </c>
      <c r="F21" s="158">
        <f>F66/-F33*F7</f>
        <v>351.69215106836424</v>
      </c>
      <c r="G21" s="164">
        <f>AVERAGE($D$21:$F$21)</f>
        <v>346.80854870600996</v>
      </c>
      <c r="H21" s="164">
        <f t="shared" ref="H21:K21" si="8">AVERAGE($D$21:$F$21)</f>
        <v>346.80854870600996</v>
      </c>
      <c r="I21" s="164">
        <f t="shared" si="8"/>
        <v>346.80854870600996</v>
      </c>
      <c r="J21" s="164">
        <f t="shared" si="8"/>
        <v>346.80854870600996</v>
      </c>
      <c r="K21" s="164">
        <f t="shared" si="8"/>
        <v>346.80854870600996</v>
      </c>
      <c r="M21" s="13"/>
      <c r="N21" s="15"/>
    </row>
    <row r="22" spans="1:14" ht="15" customHeight="1">
      <c r="B22" s="15" t="s">
        <v>93</v>
      </c>
      <c r="C22" s="15"/>
      <c r="D22" s="158">
        <f>D72</f>
        <v>27696</v>
      </c>
      <c r="E22" s="158">
        <f t="shared" ref="E22:F22" si="9">E72</f>
        <v>630</v>
      </c>
      <c r="F22" s="158">
        <f t="shared" si="9"/>
        <v>71244</v>
      </c>
      <c r="G22" s="164">
        <f>AVERAGE(D22:F22)</f>
        <v>33190</v>
      </c>
      <c r="H22" s="164">
        <f t="shared" ref="H22:K22" si="10">AVERAGE($D$22:$F$22)</f>
        <v>33190</v>
      </c>
      <c r="I22" s="164">
        <f t="shared" si="10"/>
        <v>33190</v>
      </c>
      <c r="J22" s="164">
        <f t="shared" si="10"/>
        <v>33190</v>
      </c>
      <c r="K22" s="164">
        <f t="shared" si="10"/>
        <v>33190</v>
      </c>
      <c r="M22" s="13"/>
      <c r="N22" s="15"/>
    </row>
    <row r="23" spans="1:14" ht="15" customHeight="1">
      <c r="B23" s="15" t="s">
        <v>92</v>
      </c>
      <c r="C23" s="15"/>
      <c r="D23" s="158">
        <f>D78</f>
        <v>250000</v>
      </c>
      <c r="E23" s="158">
        <f t="shared" ref="E23:F23" si="11">E78</f>
        <v>250000</v>
      </c>
      <c r="F23" s="158">
        <f t="shared" si="11"/>
        <v>250000</v>
      </c>
      <c r="G23" s="164">
        <f>AVERAGE($D$23:$F$23)</f>
        <v>250000</v>
      </c>
      <c r="H23" s="164">
        <f t="shared" ref="H23:K23" si="12">AVERAGE($D$23:$F$23)</f>
        <v>250000</v>
      </c>
      <c r="I23" s="164">
        <f t="shared" si="12"/>
        <v>250000</v>
      </c>
      <c r="J23" s="164">
        <f t="shared" si="12"/>
        <v>250000</v>
      </c>
      <c r="K23" s="164">
        <f t="shared" si="12"/>
        <v>250000</v>
      </c>
      <c r="M23" s="13"/>
      <c r="N23" s="15"/>
    </row>
    <row r="24" spans="1:14" ht="15" customHeight="1">
      <c r="B24" s="15" t="s">
        <v>91</v>
      </c>
      <c r="C24" s="15"/>
      <c r="D24" s="153">
        <f>D46/D44</f>
        <v>0.61319040697674421</v>
      </c>
      <c r="E24" s="153">
        <f t="shared" ref="E24:F24" si="13">E46/E44</f>
        <v>0.86067455026339379</v>
      </c>
      <c r="F24" s="153">
        <f t="shared" si="13"/>
        <v>0.99495887503316527</v>
      </c>
      <c r="G24" s="160">
        <f>AVERAGE($D$24:$F$24)</f>
        <v>0.82294127742443435</v>
      </c>
      <c r="H24" s="160">
        <f t="shared" ref="H24:K24" si="14">AVERAGE($D$24:$F$24)</f>
        <v>0.82294127742443435</v>
      </c>
      <c r="I24" s="160">
        <f t="shared" si="14"/>
        <v>0.82294127742443435</v>
      </c>
      <c r="J24" s="160">
        <f t="shared" si="14"/>
        <v>0.82294127742443435</v>
      </c>
      <c r="K24" s="160">
        <f t="shared" si="14"/>
        <v>0.82294127742443435</v>
      </c>
      <c r="M24" s="13"/>
      <c r="N24" s="15"/>
    </row>
    <row r="25" spans="1:14" ht="15" customHeight="1">
      <c r="B25" s="15"/>
      <c r="C25" s="15"/>
      <c r="D25" s="112"/>
      <c r="E25" s="112"/>
      <c r="F25" s="112"/>
      <c r="G25" s="111"/>
      <c r="H25" s="111"/>
      <c r="I25" s="111"/>
      <c r="J25" s="111"/>
      <c r="K25" s="111"/>
      <c r="M25" s="13"/>
      <c r="N25" s="15"/>
    </row>
    <row r="26" spans="1:14" ht="15" customHeight="1">
      <c r="B26" s="9"/>
      <c r="C26" s="9"/>
      <c r="D26" s="110"/>
      <c r="E26" s="110"/>
      <c r="F26" s="110"/>
      <c r="G26" s="110"/>
      <c r="H26" s="110"/>
      <c r="I26" s="110"/>
      <c r="J26" s="110"/>
      <c r="K26" s="110"/>
      <c r="M26" s="13"/>
      <c r="N26" s="15"/>
    </row>
    <row r="27" spans="1:14" ht="15" customHeight="1">
      <c r="G27" s="97"/>
      <c r="H27" s="97"/>
      <c r="I27" s="97"/>
      <c r="J27" s="97"/>
      <c r="K27" s="97"/>
      <c r="M27" s="13"/>
      <c r="N27" s="64"/>
    </row>
    <row r="28" spans="1:14" ht="15" customHeight="1">
      <c r="A28" s="8" t="s">
        <v>0</v>
      </c>
      <c r="B28" s="214" t="s">
        <v>4</v>
      </c>
      <c r="C28" s="214"/>
      <c r="D28" s="214"/>
      <c r="E28" s="214"/>
      <c r="F28" s="214"/>
      <c r="G28" s="214"/>
      <c r="H28" s="214"/>
      <c r="I28" s="214"/>
      <c r="J28" s="214"/>
      <c r="K28" s="214"/>
      <c r="N28" s="64"/>
    </row>
    <row r="29" spans="1:14" ht="15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  <c r="N29" s="64"/>
    </row>
    <row r="30" spans="1:14" ht="15" customHeight="1" thickBot="1">
      <c r="B30" s="24" t="s">
        <v>130</v>
      </c>
      <c r="C30" s="24"/>
      <c r="D30" s="26">
        <f t="shared" ref="D30:K30" si="15">+D$5</f>
        <v>2022</v>
      </c>
      <c r="E30" s="26">
        <f t="shared" si="15"/>
        <v>2023</v>
      </c>
      <c r="F30" s="26">
        <f t="shared" si="15"/>
        <v>2024</v>
      </c>
      <c r="G30" s="25">
        <f t="shared" si="15"/>
        <v>2025</v>
      </c>
      <c r="H30" s="25">
        <f t="shared" si="15"/>
        <v>2026</v>
      </c>
      <c r="I30" s="25">
        <f t="shared" si="15"/>
        <v>2027</v>
      </c>
      <c r="J30" s="25">
        <f t="shared" si="15"/>
        <v>2028</v>
      </c>
      <c r="K30" s="25">
        <f t="shared" si="15"/>
        <v>2029</v>
      </c>
      <c r="N30" s="64"/>
    </row>
    <row r="31" spans="1:14" s="12" customFormat="1" ht="15" customHeight="1">
      <c r="B31" s="17"/>
      <c r="C31" s="17"/>
      <c r="D31" s="8"/>
      <c r="E31" s="8"/>
      <c r="F31" s="8"/>
      <c r="G31" s="97"/>
      <c r="H31" s="97"/>
      <c r="I31" s="97"/>
      <c r="J31" s="97"/>
      <c r="K31" s="97"/>
      <c r="L31" s="8"/>
    </row>
    <row r="32" spans="1:14" s="12" customFormat="1" ht="15" customHeight="1">
      <c r="B32" s="15" t="s">
        <v>90</v>
      </c>
      <c r="C32" s="15"/>
      <c r="D32" s="159">
        <v>347568</v>
      </c>
      <c r="E32" s="159">
        <v>360716</v>
      </c>
      <c r="F32" s="159">
        <v>361252</v>
      </c>
      <c r="G32" s="158">
        <f>F32*(1+G10)</f>
        <v>375702.08</v>
      </c>
      <c r="H32" s="158">
        <f>G32*(1+H10)</f>
        <v>390730.16320000001</v>
      </c>
      <c r="I32" s="158">
        <f>H32*(1+I10)</f>
        <v>406359.36972800002</v>
      </c>
      <c r="J32" s="158">
        <f>I32*(1+J10)</f>
        <v>422613.74451712001</v>
      </c>
      <c r="K32" s="158">
        <f>J32*(1+K10)</f>
        <v>439518.29429780482</v>
      </c>
      <c r="L32" s="8"/>
    </row>
    <row r="33" spans="1:18" s="108" customFormat="1" ht="15" customHeight="1">
      <c r="A33" s="109"/>
      <c r="B33" s="15" t="s">
        <v>137</v>
      </c>
      <c r="C33" s="15"/>
      <c r="D33" s="165">
        <v>-125319</v>
      </c>
      <c r="E33" s="165">
        <v>-132187</v>
      </c>
      <c r="F33" s="165">
        <v>-126221</v>
      </c>
      <c r="G33" s="166">
        <f>(1-G11)*G32*-1</f>
        <v>-134803.87075546797</v>
      </c>
      <c r="H33" s="166">
        <f>(1-H11)*H32*-1</f>
        <v>-140196.02558568667</v>
      </c>
      <c r="I33" s="166">
        <f>(1-I11)*I32*-1</f>
        <v>-145803.86660911413</v>
      </c>
      <c r="J33" s="166">
        <f>(1-J11)*J32*-1</f>
        <v>-151636.02127347872</v>
      </c>
      <c r="K33" s="166">
        <f>(1-K11)*K32*-1</f>
        <v>-157701.46212441786</v>
      </c>
      <c r="L33" s="8"/>
      <c r="M33" s="109"/>
      <c r="N33" s="109"/>
      <c r="O33" s="109"/>
      <c r="P33" s="109"/>
      <c r="Q33" s="109"/>
      <c r="R33" s="109"/>
    </row>
    <row r="34" spans="1:18" ht="15" customHeight="1">
      <c r="B34" s="34" t="s">
        <v>89</v>
      </c>
      <c r="C34" s="34"/>
      <c r="D34" s="167">
        <f>D32+D33</f>
        <v>222249</v>
      </c>
      <c r="E34" s="167">
        <f t="shared" ref="E34:K34" si="16">E32+E33</f>
        <v>228529</v>
      </c>
      <c r="F34" s="167">
        <f t="shared" si="16"/>
        <v>235031</v>
      </c>
      <c r="G34" s="167">
        <f t="shared" si="16"/>
        <v>240898.20924453204</v>
      </c>
      <c r="H34" s="167">
        <f t="shared" si="16"/>
        <v>250534.13761431334</v>
      </c>
      <c r="I34" s="167">
        <f t="shared" si="16"/>
        <v>260555.50311888588</v>
      </c>
      <c r="J34" s="167">
        <f t="shared" si="16"/>
        <v>270977.72324364132</v>
      </c>
      <c r="K34" s="167">
        <f t="shared" si="16"/>
        <v>281816.83217338694</v>
      </c>
    </row>
    <row r="35" spans="1:18" ht="15" customHeight="1">
      <c r="B35" s="34"/>
      <c r="C35" s="34"/>
      <c r="D35" s="168"/>
      <c r="E35" s="168"/>
      <c r="F35" s="168"/>
      <c r="G35" s="168"/>
      <c r="H35" s="168"/>
      <c r="I35" s="168"/>
      <c r="J35" s="168"/>
      <c r="K35" s="168"/>
      <c r="M35" s="13"/>
    </row>
    <row r="36" spans="1:18" ht="15" customHeight="1">
      <c r="B36" s="15" t="s">
        <v>108</v>
      </c>
      <c r="C36" s="15"/>
      <c r="D36" s="165">
        <v>-86339</v>
      </c>
      <c r="E36" s="165">
        <v>-82063</v>
      </c>
      <c r="F36" s="165">
        <v>-86015</v>
      </c>
      <c r="G36" s="166">
        <f>G32*G12*-1</f>
        <v>-89418.564961830169</v>
      </c>
      <c r="H36" s="166">
        <f>H32*H12*-1</f>
        <v>-92995.307560303365</v>
      </c>
      <c r="I36" s="166">
        <f>I32*I12*-1</f>
        <v>-96715.11986271551</v>
      </c>
      <c r="J36" s="166">
        <f>J32*J12*-1</f>
        <v>-100583.72465722413</v>
      </c>
      <c r="K36" s="166">
        <f>K32*K12*-1</f>
        <v>-104607.0736435131</v>
      </c>
      <c r="M36" s="13"/>
    </row>
    <row r="37" spans="1:18" ht="15" customHeight="1">
      <c r="B37" s="15" t="s">
        <v>109</v>
      </c>
      <c r="C37" s="15"/>
      <c r="D37" s="165">
        <v>-85687</v>
      </c>
      <c r="E37" s="165">
        <v>-83000</v>
      </c>
      <c r="F37" s="165">
        <v>-80700</v>
      </c>
      <c r="G37" s="166">
        <f>-G32*G13</f>
        <v>-87666.415468293693</v>
      </c>
      <c r="H37" s="166">
        <f>-H32*H13</f>
        <v>-91173.072087025444</v>
      </c>
      <c r="I37" s="166">
        <f>-I32*I13</f>
        <v>-94819.994970506465</v>
      </c>
      <c r="J37" s="166">
        <f>-J32*J13</f>
        <v>-98612.79476932672</v>
      </c>
      <c r="K37" s="166">
        <f>-K32*K13</f>
        <v>-102557.30656009979</v>
      </c>
      <c r="M37" s="13"/>
    </row>
    <row r="38" spans="1:18" ht="15" customHeight="1">
      <c r="B38" s="34" t="s">
        <v>85</v>
      </c>
      <c r="C38" s="34"/>
      <c r="D38" s="167">
        <f t="shared" ref="D38:K38" si="17">D34+D36+D37</f>
        <v>50223</v>
      </c>
      <c r="E38" s="167">
        <f t="shared" si="17"/>
        <v>63466</v>
      </c>
      <c r="F38" s="167">
        <f t="shared" si="17"/>
        <v>68316</v>
      </c>
      <c r="G38" s="167">
        <f t="shared" si="17"/>
        <v>63813.228814408198</v>
      </c>
      <c r="H38" s="167">
        <f t="shared" si="17"/>
        <v>66365.757966984529</v>
      </c>
      <c r="I38" s="167">
        <f t="shared" si="17"/>
        <v>69020.38828566391</v>
      </c>
      <c r="J38" s="167">
        <f t="shared" si="17"/>
        <v>71781.203817090456</v>
      </c>
      <c r="K38" s="167">
        <f t="shared" si="17"/>
        <v>74652.451969774062</v>
      </c>
    </row>
    <row r="39" spans="1:18" ht="15" customHeight="1">
      <c r="B39" s="34"/>
      <c r="C39" s="34"/>
      <c r="D39" s="168"/>
      <c r="E39" s="168"/>
      <c r="F39" s="168"/>
      <c r="G39" s="168"/>
      <c r="H39" s="168"/>
      <c r="I39" s="168"/>
      <c r="J39" s="168"/>
      <c r="K39" s="168"/>
      <c r="M39" s="13"/>
    </row>
    <row r="40" spans="1:18" ht="15" customHeight="1">
      <c r="B40" s="15" t="s">
        <v>84</v>
      </c>
      <c r="C40" s="15"/>
      <c r="D40" s="159">
        <v>12577</v>
      </c>
      <c r="E40" s="159">
        <v>-732</v>
      </c>
      <c r="F40" s="159">
        <v>-10188</v>
      </c>
      <c r="G40" s="158">
        <f>G163</f>
        <v>-13738.100890598102</v>
      </c>
      <c r="H40" s="158">
        <f>H163</f>
        <v>-8732.1670827307389</v>
      </c>
      <c r="I40" s="158">
        <f>I163</f>
        <v>-8732.1670827307389</v>
      </c>
      <c r="J40" s="158">
        <f>J163</f>
        <v>-8732.1670827307389</v>
      </c>
      <c r="K40" s="158">
        <f>K163</f>
        <v>-8732.1670827307389</v>
      </c>
      <c r="M40" s="13"/>
    </row>
    <row r="41" spans="1:18" ht="15" customHeight="1">
      <c r="B41" s="15" t="s">
        <v>83</v>
      </c>
      <c r="C41" s="15"/>
      <c r="D41" s="169">
        <f>D38+D40</f>
        <v>62800</v>
      </c>
      <c r="E41" s="169">
        <f t="shared" ref="E41:K41" si="18">E38+E40</f>
        <v>62734</v>
      </c>
      <c r="F41" s="169">
        <f t="shared" si="18"/>
        <v>58128</v>
      </c>
      <c r="G41" s="169">
        <f>G38+G40</f>
        <v>50075.127923810098</v>
      </c>
      <c r="H41" s="169">
        <f t="shared" si="18"/>
        <v>57633.59088425379</v>
      </c>
      <c r="I41" s="169">
        <f t="shared" si="18"/>
        <v>60288.221202933171</v>
      </c>
      <c r="J41" s="169">
        <f t="shared" si="18"/>
        <v>63049.036734359717</v>
      </c>
      <c r="K41" s="169">
        <f t="shared" si="18"/>
        <v>65920.284887043323</v>
      </c>
      <c r="M41" s="13"/>
    </row>
    <row r="42" spans="1:18" ht="15" customHeight="1">
      <c r="B42" s="15"/>
      <c r="C42" s="15"/>
      <c r="D42" s="170"/>
      <c r="E42" s="170"/>
      <c r="F42" s="170"/>
      <c r="G42" s="170"/>
      <c r="H42" s="170"/>
      <c r="I42" s="170"/>
      <c r="J42" s="170"/>
      <c r="K42" s="170"/>
    </row>
    <row r="43" spans="1:18" ht="15" customHeight="1">
      <c r="B43" s="15" t="s">
        <v>48</v>
      </c>
      <c r="C43" s="15"/>
      <c r="D43" s="159">
        <v>-18768</v>
      </c>
      <c r="E43" s="159">
        <v>-16985</v>
      </c>
      <c r="F43" s="159">
        <v>-16669</v>
      </c>
      <c r="G43" s="158">
        <f>G41*G15*-1</f>
        <v>-14521.787097904928</v>
      </c>
      <c r="H43" s="158">
        <f>H41*H15*-1</f>
        <v>-16713.741356433598</v>
      </c>
      <c r="I43" s="158">
        <f>I41*I15*-1</f>
        <v>-17483.584148850619</v>
      </c>
      <c r="J43" s="158">
        <f>J41*J15*-1</f>
        <v>-18284.220652964315</v>
      </c>
      <c r="K43" s="158">
        <f>K41*K15*-1</f>
        <v>-19116.882617242562</v>
      </c>
      <c r="M43" s="13"/>
    </row>
    <row r="44" spans="1:18" ht="15" customHeight="1" thickBot="1">
      <c r="B44" s="34" t="s">
        <v>11</v>
      </c>
      <c r="C44" s="34"/>
      <c r="D44" s="171">
        <f>D41+D43</f>
        <v>44032</v>
      </c>
      <c r="E44" s="171">
        <f t="shared" ref="E44:K44" si="19">E41+E43</f>
        <v>45749</v>
      </c>
      <c r="F44" s="171">
        <f t="shared" si="19"/>
        <v>41459</v>
      </c>
      <c r="G44" s="171">
        <f t="shared" si="19"/>
        <v>35553.340825905172</v>
      </c>
      <c r="H44" s="171">
        <f t="shared" si="19"/>
        <v>40919.849527820188</v>
      </c>
      <c r="I44" s="171">
        <f t="shared" si="19"/>
        <v>42804.637054082552</v>
      </c>
      <c r="J44" s="171">
        <f t="shared" si="19"/>
        <v>44764.816081395402</v>
      </c>
      <c r="K44" s="171">
        <f t="shared" si="19"/>
        <v>46803.402269800761</v>
      </c>
      <c r="M44" s="13"/>
    </row>
    <row r="45" spans="1:18" ht="15" customHeight="1">
      <c r="B45" s="17"/>
      <c r="C45" s="17"/>
      <c r="D45" s="172"/>
      <c r="E45" s="172"/>
      <c r="F45" s="172"/>
      <c r="G45" s="173"/>
      <c r="H45" s="173"/>
      <c r="I45" s="173"/>
      <c r="J45" s="173"/>
      <c r="K45" s="173"/>
    </row>
    <row r="46" spans="1:18" ht="15" customHeight="1">
      <c r="B46" s="8" t="s">
        <v>82</v>
      </c>
      <c r="D46" s="159">
        <v>27000</v>
      </c>
      <c r="E46" s="159">
        <v>39375</v>
      </c>
      <c r="F46" s="159">
        <v>41250</v>
      </c>
      <c r="G46" s="158">
        <f>G44*G24</f>
        <v>29258.311715976695</v>
      </c>
      <c r="H46" s="158">
        <f t="shared" ref="H46:K46" si="20">H44*H24</f>
        <v>33674.633242439981</v>
      </c>
      <c r="I46" s="158">
        <f t="shared" si="20"/>
        <v>35225.702696975968</v>
      </c>
      <c r="J46" s="158">
        <f t="shared" si="20"/>
        <v>36838.814929693392</v>
      </c>
      <c r="K46" s="158">
        <f t="shared" si="20"/>
        <v>38516.451651719508</v>
      </c>
      <c r="M46" s="13"/>
    </row>
    <row r="47" spans="1:18" ht="15" customHeight="1">
      <c r="D47" s="159"/>
      <c r="E47" s="159"/>
      <c r="F47" s="159"/>
      <c r="G47" s="174"/>
      <c r="H47" s="174"/>
      <c r="I47" s="174"/>
      <c r="J47" s="174"/>
      <c r="K47" s="174"/>
      <c r="M47" s="13"/>
    </row>
    <row r="48" spans="1:18" ht="15" customHeight="1">
      <c r="B48" s="9"/>
      <c r="C48" s="9"/>
      <c r="D48" s="103"/>
      <c r="E48" s="103"/>
      <c r="F48" s="103"/>
      <c r="G48" s="102"/>
      <c r="H48" s="102"/>
      <c r="I48" s="102"/>
      <c r="J48" s="102"/>
      <c r="K48" s="102"/>
      <c r="N48" s="3"/>
    </row>
    <row r="49" spans="1:14" ht="15" customHeight="1">
      <c r="G49" s="97"/>
      <c r="H49" s="97"/>
      <c r="I49" s="97"/>
      <c r="J49" s="97"/>
      <c r="K49" s="97"/>
      <c r="M49" s="13"/>
    </row>
    <row r="50" spans="1:14" ht="15" customHeight="1">
      <c r="A50" s="8" t="s">
        <v>0</v>
      </c>
      <c r="B50" s="214" t="s">
        <v>81</v>
      </c>
      <c r="C50" s="214"/>
      <c r="D50" s="214"/>
      <c r="E50" s="214"/>
      <c r="F50" s="214"/>
      <c r="G50" s="214"/>
      <c r="H50" s="214"/>
      <c r="I50" s="214"/>
      <c r="J50" s="214"/>
      <c r="K50" s="214"/>
    </row>
    <row r="51" spans="1:14" ht="15" customHeight="1">
      <c r="B51" s="28"/>
      <c r="C51" s="28"/>
      <c r="D51" s="28"/>
      <c r="E51" s="28"/>
      <c r="F51" s="28"/>
      <c r="G51" s="28"/>
      <c r="H51" s="28"/>
      <c r="I51" s="28"/>
      <c r="J51" s="28"/>
      <c r="K51" s="28"/>
      <c r="N51" s="15"/>
    </row>
    <row r="52" spans="1:14" ht="15" customHeight="1" thickBot="1">
      <c r="B52" s="24" t="s">
        <v>130</v>
      </c>
      <c r="C52" s="24"/>
      <c r="D52" s="26">
        <f t="shared" ref="D52:K52" si="21">+D$5</f>
        <v>2022</v>
      </c>
      <c r="E52" s="26">
        <f t="shared" si="21"/>
        <v>2023</v>
      </c>
      <c r="F52" s="26">
        <f t="shared" si="21"/>
        <v>2024</v>
      </c>
      <c r="G52" s="25">
        <f t="shared" si="21"/>
        <v>2025</v>
      </c>
      <c r="H52" s="25">
        <f t="shared" si="21"/>
        <v>2026</v>
      </c>
      <c r="I52" s="25">
        <f t="shared" si="21"/>
        <v>2027</v>
      </c>
      <c r="J52" s="25">
        <f t="shared" si="21"/>
        <v>2028</v>
      </c>
      <c r="K52" s="25">
        <f t="shared" si="21"/>
        <v>2029</v>
      </c>
    </row>
    <row r="53" spans="1:14" ht="15" customHeight="1">
      <c r="B53" s="24"/>
      <c r="C53" s="24"/>
      <c r="D53" s="101"/>
      <c r="E53" s="101"/>
      <c r="F53" s="101"/>
      <c r="G53" s="100"/>
      <c r="H53" s="100"/>
      <c r="I53" s="100"/>
      <c r="J53" s="100"/>
      <c r="K53" s="100"/>
      <c r="M53" s="12"/>
    </row>
    <row r="54" spans="1:14" ht="15" customHeight="1">
      <c r="B54" s="17" t="s">
        <v>80</v>
      </c>
      <c r="C54" s="17"/>
      <c r="D54" s="99"/>
      <c r="E54" s="99"/>
      <c r="F54" s="99"/>
      <c r="G54" s="97"/>
      <c r="H54" s="97"/>
      <c r="I54" s="97"/>
      <c r="J54" s="97"/>
      <c r="K54" s="97"/>
      <c r="M54" s="12"/>
    </row>
    <row r="55" spans="1:14" s="12" customFormat="1" ht="15" customHeight="1">
      <c r="B55" s="15" t="s">
        <v>79</v>
      </c>
      <c r="C55" s="8"/>
      <c r="D55" s="158">
        <f>D120</f>
        <v>64320</v>
      </c>
      <c r="E55" s="158">
        <f t="shared" ref="E55:F55" si="22">E120</f>
        <v>66878</v>
      </c>
      <c r="F55" s="158">
        <f t="shared" si="22"/>
        <v>64368</v>
      </c>
      <c r="G55" s="158">
        <f>G120</f>
        <v>72269.079053068621</v>
      </c>
      <c r="H55" s="158">
        <f t="shared" ref="H55:K55" si="23">H120</f>
        <v>77998.06178061878</v>
      </c>
      <c r="I55" s="158">
        <f t="shared" si="23"/>
        <v>74470.741385730493</v>
      </c>
      <c r="J55" s="158">
        <f t="shared" si="23"/>
        <v>89500.94179288848</v>
      </c>
      <c r="K55" s="158">
        <f t="shared" si="23"/>
        <v>95916.247455574106</v>
      </c>
      <c r="L55" s="8"/>
      <c r="M55" s="8"/>
    </row>
    <row r="56" spans="1:14" s="12" customFormat="1" ht="15" customHeight="1">
      <c r="B56" s="15" t="s">
        <v>42</v>
      </c>
      <c r="C56" s="8"/>
      <c r="D56" s="159">
        <v>108391</v>
      </c>
      <c r="E56" s="159">
        <v>122759</v>
      </c>
      <c r="F56" s="159">
        <v>126150</v>
      </c>
      <c r="G56" s="158">
        <f>G138</f>
        <v>125406.61212724721</v>
      </c>
      <c r="H56" s="158">
        <f>H138</f>
        <v>130422.87661233709</v>
      </c>
      <c r="I56" s="158">
        <f>I138</f>
        <v>135639.79167683059</v>
      </c>
      <c r="J56" s="158">
        <f>J138</f>
        <v>141065.38334390381</v>
      </c>
      <c r="K56" s="158">
        <f>K138</f>
        <v>146707.99867765995</v>
      </c>
      <c r="L56" s="8"/>
      <c r="M56" s="8"/>
    </row>
    <row r="57" spans="1:14" ht="15" customHeight="1">
      <c r="B57" s="15" t="s">
        <v>64</v>
      </c>
      <c r="D57" s="159">
        <v>12384</v>
      </c>
      <c r="E57" s="159">
        <v>12143</v>
      </c>
      <c r="F57" s="159">
        <v>10283</v>
      </c>
      <c r="G57" s="158">
        <f>G139</f>
        <v>12228.97202090867</v>
      </c>
      <c r="H57" s="158">
        <f>H139</f>
        <v>12718.130901745015</v>
      </c>
      <c r="I57" s="158">
        <f>I139</f>
        <v>13226.856137814815</v>
      </c>
      <c r="J57" s="158">
        <f>J139</f>
        <v>13755.93038332741</v>
      </c>
      <c r="K57" s="158">
        <f>K139</f>
        <v>14306.167598660506</v>
      </c>
    </row>
    <row r="58" spans="1:14" ht="15" customHeight="1">
      <c r="B58" s="15" t="s">
        <v>112</v>
      </c>
      <c r="D58" s="159">
        <v>2551</v>
      </c>
      <c r="E58" s="159">
        <v>2531</v>
      </c>
      <c r="F58" s="159">
        <v>4161</v>
      </c>
      <c r="G58" s="164">
        <f>F58</f>
        <v>4161</v>
      </c>
      <c r="H58" s="164">
        <f t="shared" ref="H58:K58" si="24">G58</f>
        <v>4161</v>
      </c>
      <c r="I58" s="164">
        <f t="shared" si="24"/>
        <v>4161</v>
      </c>
      <c r="J58" s="164">
        <f t="shared" si="24"/>
        <v>4161</v>
      </c>
      <c r="K58" s="164">
        <f t="shared" si="24"/>
        <v>4161</v>
      </c>
      <c r="M58" s="13"/>
    </row>
    <row r="59" spans="1:14" ht="15" customHeight="1">
      <c r="B59" s="149" t="s">
        <v>78</v>
      </c>
      <c r="D59" s="175">
        <f>SUM(D55:D58)</f>
        <v>187646</v>
      </c>
      <c r="E59" s="175">
        <f t="shared" ref="E59:K59" si="25">SUM(E55:E58)</f>
        <v>204311</v>
      </c>
      <c r="F59" s="175">
        <f t="shared" si="25"/>
        <v>204962</v>
      </c>
      <c r="G59" s="175">
        <f t="shared" si="25"/>
        <v>214065.6632012245</v>
      </c>
      <c r="H59" s="175">
        <f t="shared" si="25"/>
        <v>225300.06929470089</v>
      </c>
      <c r="I59" s="175">
        <f t="shared" si="25"/>
        <v>227498.38920037588</v>
      </c>
      <c r="J59" s="175">
        <f t="shared" si="25"/>
        <v>248483.25552011971</v>
      </c>
      <c r="K59" s="175">
        <f t="shared" si="25"/>
        <v>261091.41373189457</v>
      </c>
      <c r="M59" s="13"/>
    </row>
    <row r="60" spans="1:14" ht="15" customHeight="1">
      <c r="B60" s="15" t="s">
        <v>113</v>
      </c>
      <c r="C60" s="17"/>
      <c r="D60" s="159">
        <v>215057</v>
      </c>
      <c r="E60" s="159">
        <v>220087</v>
      </c>
      <c r="F60" s="159">
        <v>210543</v>
      </c>
      <c r="G60" s="164">
        <f>AVERAGE(D60:F60)</f>
        <v>215229</v>
      </c>
      <c r="H60" s="164">
        <f t="shared" ref="H60:K60" si="26">AVERAGE(E60:G60)</f>
        <v>215286.33333333334</v>
      </c>
      <c r="I60" s="164">
        <f t="shared" si="26"/>
        <v>213686.11111111112</v>
      </c>
      <c r="J60" s="164">
        <f t="shared" si="26"/>
        <v>214733.81481481483</v>
      </c>
      <c r="K60" s="164">
        <f t="shared" si="26"/>
        <v>214568.75308641978</v>
      </c>
      <c r="M60" s="13"/>
    </row>
    <row r="61" spans="1:14" ht="15" customHeight="1">
      <c r="B61" s="15" t="s">
        <v>77</v>
      </c>
      <c r="D61" s="159">
        <v>263802</v>
      </c>
      <c r="E61" s="159">
        <v>288783</v>
      </c>
      <c r="F61" s="159">
        <v>300845</v>
      </c>
      <c r="G61" s="164">
        <f t="shared" ref="G61:G62" si="27">AVERAGE(D61:F61)</f>
        <v>284476.66666666669</v>
      </c>
      <c r="H61" s="164">
        <f t="shared" ref="H61:H62" si="28">AVERAGE(E61:G61)</f>
        <v>291368.22222222225</v>
      </c>
      <c r="I61" s="164">
        <f t="shared" ref="I61:I62" si="29">AVERAGE(F61:H61)</f>
        <v>292229.96296296298</v>
      </c>
      <c r="J61" s="164">
        <f t="shared" ref="J61:J62" si="30">AVERAGE(G61:I61)</f>
        <v>289358.2839506173</v>
      </c>
      <c r="K61" s="164">
        <f t="shared" ref="K61:K62" si="31">AVERAGE(H61:J61)</f>
        <v>290985.48971193418</v>
      </c>
      <c r="M61" s="13"/>
    </row>
    <row r="62" spans="1:14" ht="15" customHeight="1">
      <c r="B62" s="15" t="s">
        <v>114</v>
      </c>
      <c r="D62" s="159">
        <v>76206</v>
      </c>
      <c r="E62" s="159">
        <v>73777</v>
      </c>
      <c r="F62" s="159">
        <v>73427</v>
      </c>
      <c r="G62" s="164">
        <f t="shared" si="27"/>
        <v>74470</v>
      </c>
      <c r="H62" s="164">
        <f t="shared" si="28"/>
        <v>73891.333333333328</v>
      </c>
      <c r="I62" s="164">
        <f t="shared" si="29"/>
        <v>73929.444444444438</v>
      </c>
      <c r="J62" s="164">
        <f t="shared" si="30"/>
        <v>74096.925925925912</v>
      </c>
      <c r="K62" s="164">
        <f t="shared" si="31"/>
        <v>73972.56790123455</v>
      </c>
      <c r="N62" s="91"/>
    </row>
    <row r="63" spans="1:14" ht="15" customHeight="1" thickBot="1">
      <c r="B63" s="34" t="s">
        <v>76</v>
      </c>
      <c r="C63" s="17"/>
      <c r="D63" s="171">
        <f>SUM(D59:D62)</f>
        <v>742711</v>
      </c>
      <c r="E63" s="171">
        <f t="shared" ref="E63:K63" si="32">SUM(E59:E62)</f>
        <v>786958</v>
      </c>
      <c r="F63" s="171">
        <f t="shared" si="32"/>
        <v>789777</v>
      </c>
      <c r="G63" s="171">
        <f t="shared" si="32"/>
        <v>788241.32986789127</v>
      </c>
      <c r="H63" s="171">
        <f t="shared" si="32"/>
        <v>805845.95818358986</v>
      </c>
      <c r="I63" s="171">
        <f t="shared" si="32"/>
        <v>807343.90771889454</v>
      </c>
      <c r="J63" s="171">
        <f t="shared" si="32"/>
        <v>826672.28021147777</v>
      </c>
      <c r="K63" s="171">
        <f t="shared" si="32"/>
        <v>840618.22443148308</v>
      </c>
      <c r="M63" s="13"/>
      <c r="N63" s="98"/>
    </row>
    <row r="64" spans="1:14" ht="15" customHeight="1">
      <c r="D64" s="176"/>
      <c r="E64" s="176"/>
      <c r="F64" s="176"/>
      <c r="G64" s="164"/>
      <c r="H64" s="164"/>
      <c r="I64" s="164"/>
      <c r="J64" s="164"/>
      <c r="K64" s="164"/>
      <c r="N64" s="91"/>
    </row>
    <row r="65" spans="2:14" ht="15" customHeight="1">
      <c r="B65" s="17" t="s">
        <v>75</v>
      </c>
      <c r="C65" s="17"/>
      <c r="D65" s="176"/>
      <c r="E65" s="176"/>
      <c r="F65" s="176"/>
      <c r="G65" s="164"/>
      <c r="H65" s="164"/>
      <c r="I65" s="164"/>
      <c r="J65" s="164"/>
      <c r="K65" s="164"/>
      <c r="M65" s="13"/>
      <c r="N65" s="91"/>
    </row>
    <row r="66" spans="2:14" ht="15" customHeight="1">
      <c r="B66" s="15" t="s">
        <v>115</v>
      </c>
      <c r="D66" s="159">
        <v>116635</v>
      </c>
      <c r="E66" s="159">
        <v>126402</v>
      </c>
      <c r="F66" s="159">
        <v>121619</v>
      </c>
      <c r="G66" s="158">
        <f>G140</f>
        <v>128085.3007579627</v>
      </c>
      <c r="H66" s="158">
        <f>H140</f>
        <v>133208.71278828118</v>
      </c>
      <c r="I66" s="158">
        <f>I140</f>
        <v>138537.06129981243</v>
      </c>
      <c r="J66" s="158">
        <f>J140</f>
        <v>144078.54375180494</v>
      </c>
      <c r="K66" s="158">
        <f>K140</f>
        <v>149841.68550187713</v>
      </c>
      <c r="N66" s="91"/>
    </row>
    <row r="67" spans="2:14" ht="15" customHeight="1">
      <c r="B67" s="15" t="s">
        <v>116</v>
      </c>
      <c r="D67" s="159">
        <v>42068</v>
      </c>
      <c r="E67" s="159">
        <v>58399</v>
      </c>
      <c r="F67" s="159">
        <v>58066</v>
      </c>
      <c r="G67" s="158">
        <f>AVERAGE(D67:F67)</f>
        <v>52844.333333333336</v>
      </c>
      <c r="H67" s="158">
        <f t="shared" ref="H67:K67" si="33">AVERAGE(E67:G67)</f>
        <v>56436.444444444445</v>
      </c>
      <c r="I67" s="158">
        <f t="shared" si="33"/>
        <v>55782.259259259263</v>
      </c>
      <c r="J67" s="158">
        <f t="shared" si="33"/>
        <v>55021.012345679017</v>
      </c>
      <c r="K67" s="158">
        <f t="shared" si="33"/>
        <v>55746.572016460908</v>
      </c>
      <c r="N67" s="96"/>
    </row>
    <row r="68" spans="2:14" ht="15" customHeight="1">
      <c r="B68" s="15" t="s">
        <v>117</v>
      </c>
      <c r="D68" s="159">
        <v>13499</v>
      </c>
      <c r="E68" s="159">
        <v>14064</v>
      </c>
      <c r="F68" s="159">
        <v>14074</v>
      </c>
      <c r="G68" s="175">
        <f>AVERAGE(D68:F68)</f>
        <v>13879</v>
      </c>
      <c r="H68" s="175">
        <f t="shared" ref="H68:K68" si="34">AVERAGE(E68:G68)</f>
        <v>14005.666666666666</v>
      </c>
      <c r="I68" s="175">
        <f t="shared" si="34"/>
        <v>13986.222222222221</v>
      </c>
      <c r="J68" s="175">
        <f t="shared" si="34"/>
        <v>13956.962962962962</v>
      </c>
      <c r="K68" s="175">
        <f t="shared" si="34"/>
        <v>13982.950617283948</v>
      </c>
      <c r="M68" s="13"/>
      <c r="N68" s="91"/>
    </row>
    <row r="69" spans="2:14" ht="15" customHeight="1">
      <c r="B69" s="15" t="s">
        <v>118</v>
      </c>
      <c r="C69" s="17"/>
      <c r="D69" s="159">
        <v>6254</v>
      </c>
      <c r="E69" s="159">
        <v>6160</v>
      </c>
      <c r="F69" s="159">
        <v>7170</v>
      </c>
      <c r="G69" s="164">
        <f t="shared" ref="G69:K69" si="35">AVERAGE(D69:F69)</f>
        <v>6528</v>
      </c>
      <c r="H69" s="164">
        <f t="shared" si="35"/>
        <v>6619.333333333333</v>
      </c>
      <c r="I69" s="164">
        <f t="shared" si="35"/>
        <v>6772.4444444444443</v>
      </c>
      <c r="J69" s="164">
        <f t="shared" si="35"/>
        <v>6639.9259259259261</v>
      </c>
      <c r="K69" s="164">
        <f t="shared" si="35"/>
        <v>6677.2345679012351</v>
      </c>
      <c r="M69" s="13"/>
      <c r="N69" s="91"/>
    </row>
    <row r="70" spans="2:14" ht="15" customHeight="1">
      <c r="B70" s="15" t="s">
        <v>119</v>
      </c>
      <c r="D70" s="159">
        <v>84025</v>
      </c>
      <c r="E70" s="159">
        <v>152736</v>
      </c>
      <c r="F70" s="159">
        <v>87274</v>
      </c>
      <c r="G70" s="158">
        <f t="shared" ref="G70:K70" si="36">AVERAGE(D70:F70)</f>
        <v>108011.66666666667</v>
      </c>
      <c r="H70" s="158">
        <f t="shared" si="36"/>
        <v>116007.22222222223</v>
      </c>
      <c r="I70" s="158">
        <f>AVERAGE(F70:H70)</f>
        <v>103764.29629629631</v>
      </c>
      <c r="J70" s="158">
        <f t="shared" si="36"/>
        <v>109261.06172839507</v>
      </c>
      <c r="K70" s="158">
        <f t="shared" si="36"/>
        <v>109677.5267489712</v>
      </c>
      <c r="M70" s="13"/>
      <c r="N70" s="91"/>
    </row>
    <row r="71" spans="2:14" ht="15" customHeight="1">
      <c r="B71" s="149" t="s">
        <v>74</v>
      </c>
      <c r="C71" s="64"/>
      <c r="D71" s="175">
        <f>SUM(D66:D70)</f>
        <v>262481</v>
      </c>
      <c r="E71" s="175">
        <f t="shared" ref="E71:K71" si="37">SUM(E66:E70)</f>
        <v>357761</v>
      </c>
      <c r="F71" s="175">
        <f t="shared" si="37"/>
        <v>288203</v>
      </c>
      <c r="G71" s="175">
        <f>SUM(G66:G70)</f>
        <v>309348.30075796269</v>
      </c>
      <c r="H71" s="175">
        <f t="shared" si="37"/>
        <v>326277.37945494783</v>
      </c>
      <c r="I71" s="175">
        <f t="shared" si="37"/>
        <v>318842.28352203465</v>
      </c>
      <c r="J71" s="175">
        <f t="shared" si="37"/>
        <v>328957.50671476789</v>
      </c>
      <c r="K71" s="175">
        <f t="shared" si="37"/>
        <v>335925.96945249441</v>
      </c>
    </row>
    <row r="72" spans="2:14" ht="15" customHeight="1">
      <c r="B72" s="8" t="s">
        <v>73</v>
      </c>
      <c r="D72" s="159">
        <v>27696</v>
      </c>
      <c r="E72" s="159">
        <v>630</v>
      </c>
      <c r="F72" s="159">
        <v>71244</v>
      </c>
      <c r="G72" s="174">
        <f>G158</f>
        <v>33190</v>
      </c>
      <c r="H72" s="174">
        <f>H158</f>
        <v>33190</v>
      </c>
      <c r="I72" s="174">
        <f>I158</f>
        <v>33190</v>
      </c>
      <c r="J72" s="174">
        <f>J158</f>
        <v>33190</v>
      </c>
      <c r="K72" s="174">
        <f>K158</f>
        <v>33190</v>
      </c>
      <c r="M72" s="13"/>
      <c r="N72" s="98"/>
    </row>
    <row r="73" spans="2:14" ht="15" customHeight="1">
      <c r="B73" s="8" t="s">
        <v>120</v>
      </c>
      <c r="D73" s="159">
        <v>34853</v>
      </c>
      <c r="E73" s="159">
        <v>35064</v>
      </c>
      <c r="F73" s="159">
        <v>36242</v>
      </c>
      <c r="G73" s="164">
        <f>AVERAGE(D73:F73)</f>
        <v>35386.333333333336</v>
      </c>
      <c r="H73" s="164">
        <f t="shared" ref="H73:K73" si="38">AVERAGE(E73:G73)</f>
        <v>35564.111111111117</v>
      </c>
      <c r="I73" s="164">
        <f t="shared" si="38"/>
        <v>35730.814814814825</v>
      </c>
      <c r="J73" s="164">
        <f t="shared" si="38"/>
        <v>35560.419753086426</v>
      </c>
      <c r="K73" s="164">
        <f t="shared" si="38"/>
        <v>35618.448559670789</v>
      </c>
      <c r="M73" s="13"/>
      <c r="N73" s="91"/>
    </row>
    <row r="74" spans="2:14" ht="15" customHeight="1">
      <c r="B74" s="8" t="s">
        <v>121</v>
      </c>
      <c r="D74" s="159">
        <v>119291</v>
      </c>
      <c r="E74" s="159">
        <v>88739</v>
      </c>
      <c r="F74" s="159">
        <v>89116</v>
      </c>
      <c r="G74" s="164">
        <f>AVERAGE(D74:F74)</f>
        <v>99048.666666666672</v>
      </c>
      <c r="H74" s="164">
        <f t="shared" ref="H74" si="39">AVERAGE(E74:G74)</f>
        <v>92301.222222222234</v>
      </c>
      <c r="I74" s="164">
        <f t="shared" ref="I74" si="40">AVERAGE(F74:H74)</f>
        <v>93488.62962962965</v>
      </c>
      <c r="J74" s="164">
        <f t="shared" ref="J74" si="41">AVERAGE(G74:I74)</f>
        <v>94946.17283950618</v>
      </c>
      <c r="K74" s="164">
        <f t="shared" ref="K74" si="42">AVERAGE(H74:J74)</f>
        <v>93578.674897119359</v>
      </c>
      <c r="M74" s="97"/>
    </row>
    <row r="75" spans="2:14" ht="15" customHeight="1" thickBot="1">
      <c r="B75" s="34" t="s">
        <v>72</v>
      </c>
      <c r="C75" s="17"/>
      <c r="D75" s="171">
        <f>SUM(D71:D74)</f>
        <v>444321</v>
      </c>
      <c r="E75" s="171">
        <f t="shared" ref="E75:F75" si="43">SUM(E71:E74)</f>
        <v>482194</v>
      </c>
      <c r="F75" s="171">
        <f t="shared" si="43"/>
        <v>484805</v>
      </c>
      <c r="G75" s="171">
        <f t="shared" ref="G75" si="44">SUM(G71:G74)</f>
        <v>476973.30075796269</v>
      </c>
      <c r="H75" s="171">
        <f t="shared" ref="H75" si="45">SUM(H71:H74)</f>
        <v>487332.71278828121</v>
      </c>
      <c r="I75" s="171">
        <f t="shared" ref="I75" si="46">SUM(I71:I74)</f>
        <v>481251.72796647914</v>
      </c>
      <c r="J75" s="171">
        <f t="shared" ref="J75" si="47">SUM(J71:J74)</f>
        <v>492654.09930736048</v>
      </c>
      <c r="K75" s="171">
        <f t="shared" ref="K75" si="48">SUM(K71:K74)</f>
        <v>498313.09290928452</v>
      </c>
      <c r="N75" s="91"/>
    </row>
    <row r="76" spans="2:14" ht="15" customHeight="1">
      <c r="D76" s="159"/>
      <c r="E76" s="159"/>
      <c r="F76" s="159"/>
      <c r="G76" s="155"/>
      <c r="H76" s="155"/>
      <c r="I76" s="155"/>
      <c r="J76" s="155"/>
      <c r="K76" s="155"/>
      <c r="N76" s="91"/>
    </row>
    <row r="77" spans="2:14" ht="15" customHeight="1">
      <c r="B77" s="17" t="s">
        <v>71</v>
      </c>
      <c r="C77" s="17"/>
      <c r="D77" s="176"/>
      <c r="E77" s="176"/>
      <c r="F77" s="176"/>
      <c r="G77" s="164"/>
      <c r="H77" s="164"/>
      <c r="I77" s="164"/>
      <c r="J77" s="164"/>
      <c r="K77" s="164"/>
      <c r="N77" s="91"/>
    </row>
    <row r="78" spans="2:14" ht="15" customHeight="1">
      <c r="B78" s="15" t="s">
        <v>23</v>
      </c>
      <c r="D78" s="159">
        <v>250000</v>
      </c>
      <c r="E78" s="159">
        <v>250000</v>
      </c>
      <c r="F78" s="159">
        <v>250000</v>
      </c>
      <c r="G78" s="158">
        <f>G168</f>
        <v>250000</v>
      </c>
      <c r="H78" s="158">
        <f>H168</f>
        <v>250000</v>
      </c>
      <c r="I78" s="158">
        <f>I168</f>
        <v>250000</v>
      </c>
      <c r="J78" s="158">
        <f>J168</f>
        <v>250000</v>
      </c>
      <c r="K78" s="158">
        <f>K168</f>
        <v>250000</v>
      </c>
    </row>
    <row r="79" spans="2:14" ht="15" customHeight="1">
      <c r="B79" s="15" t="s">
        <v>70</v>
      </c>
      <c r="D79" s="159">
        <v>48390</v>
      </c>
      <c r="E79" s="159">
        <v>54764</v>
      </c>
      <c r="F79" s="159">
        <v>54972</v>
      </c>
      <c r="G79" s="158">
        <f>G177</f>
        <v>61268.02910992848</v>
      </c>
      <c r="H79" s="158">
        <f>H177</f>
        <v>68513.245395308681</v>
      </c>
      <c r="I79" s="158">
        <f>I177</f>
        <v>76092.179752415279</v>
      </c>
      <c r="J79" s="158">
        <f>J177</f>
        <v>84018.180904117296</v>
      </c>
      <c r="K79" s="158">
        <f>K177</f>
        <v>92305.131522198557</v>
      </c>
      <c r="N79" s="91"/>
    </row>
    <row r="80" spans="2:14" ht="15" customHeight="1">
      <c r="B80" s="34" t="s">
        <v>69</v>
      </c>
      <c r="C80" s="17"/>
      <c r="D80" s="167">
        <f>SUM(D78:D79)</f>
        <v>298390</v>
      </c>
      <c r="E80" s="167">
        <f t="shared" ref="E80:K80" si="49">SUM(E78:E79)</f>
        <v>304764</v>
      </c>
      <c r="F80" s="167">
        <f t="shared" si="49"/>
        <v>304972</v>
      </c>
      <c r="G80" s="167">
        <f t="shared" si="49"/>
        <v>311268.02910992847</v>
      </c>
      <c r="H80" s="167">
        <f t="shared" si="49"/>
        <v>318513.24539530871</v>
      </c>
      <c r="I80" s="167">
        <f t="shared" si="49"/>
        <v>326092.17975241528</v>
      </c>
      <c r="J80" s="167">
        <f t="shared" si="49"/>
        <v>334018.1809041173</v>
      </c>
      <c r="K80" s="167">
        <f t="shared" si="49"/>
        <v>342305.13152219856</v>
      </c>
      <c r="M80" s="13"/>
      <c r="N80" s="96"/>
    </row>
    <row r="81" spans="1:14" ht="15" customHeight="1">
      <c r="B81" s="34"/>
      <c r="C81" s="17"/>
      <c r="D81" s="168"/>
      <c r="E81" s="168"/>
      <c r="F81" s="168"/>
      <c r="G81" s="168"/>
      <c r="H81" s="168"/>
      <c r="I81" s="168"/>
      <c r="J81" s="168"/>
      <c r="K81" s="168"/>
      <c r="M81" s="13"/>
      <c r="N81" s="96"/>
    </row>
    <row r="82" spans="1:14" ht="15" customHeight="1" thickBot="1">
      <c r="B82" s="34" t="s">
        <v>68</v>
      </c>
      <c r="D82" s="171">
        <f>D75+D80</f>
        <v>742711</v>
      </c>
      <c r="E82" s="171">
        <f t="shared" ref="E82:K82" si="50">E75+E80</f>
        <v>786958</v>
      </c>
      <c r="F82" s="171">
        <f t="shared" si="50"/>
        <v>789777</v>
      </c>
      <c r="G82" s="171">
        <f t="shared" si="50"/>
        <v>788241.32986789115</v>
      </c>
      <c r="H82" s="171">
        <f t="shared" si="50"/>
        <v>805845.95818358986</v>
      </c>
      <c r="I82" s="171">
        <f t="shared" si="50"/>
        <v>807343.90771889442</v>
      </c>
      <c r="J82" s="171">
        <f t="shared" si="50"/>
        <v>826672.28021147777</v>
      </c>
      <c r="K82" s="171">
        <f t="shared" si="50"/>
        <v>840618.22443148308</v>
      </c>
      <c r="M82" s="13"/>
      <c r="N82" s="96"/>
    </row>
    <row r="83" spans="1:14" ht="15" customHeight="1">
      <c r="B83" s="15"/>
      <c r="D83" s="164"/>
      <c r="E83" s="164"/>
      <c r="F83" s="164"/>
      <c r="G83" s="164"/>
      <c r="H83" s="164"/>
      <c r="I83" s="164"/>
      <c r="J83" s="164"/>
      <c r="K83" s="164"/>
      <c r="N83" s="95"/>
    </row>
    <row r="84" spans="1:14" ht="15" customHeight="1">
      <c r="B84" s="19" t="s">
        <v>67</v>
      </c>
      <c r="C84" s="93"/>
      <c r="D84" s="16">
        <f>D63-D82</f>
        <v>0</v>
      </c>
      <c r="E84" s="16">
        <f t="shared" ref="E84:K84" si="51">E63-E82</f>
        <v>0</v>
      </c>
      <c r="F84" s="16">
        <f t="shared" si="51"/>
        <v>0</v>
      </c>
      <c r="G84" s="16">
        <f t="shared" si="51"/>
        <v>0</v>
      </c>
      <c r="H84" s="16">
        <f t="shared" si="51"/>
        <v>0</v>
      </c>
      <c r="I84" s="16">
        <f t="shared" si="51"/>
        <v>0</v>
      </c>
      <c r="J84" s="16">
        <f t="shared" si="51"/>
        <v>0</v>
      </c>
      <c r="K84" s="16">
        <f t="shared" si="51"/>
        <v>0</v>
      </c>
      <c r="M84" s="13"/>
      <c r="N84" s="94"/>
    </row>
    <row r="85" spans="1:14" ht="15" customHeight="1">
      <c r="B85" s="93"/>
      <c r="C85" s="93"/>
      <c r="D85" s="47"/>
      <c r="E85" s="47"/>
      <c r="F85" s="47"/>
      <c r="G85" s="47"/>
      <c r="H85" s="47"/>
      <c r="I85" s="47"/>
      <c r="J85" s="47"/>
      <c r="K85" s="47"/>
      <c r="N85" s="91"/>
    </row>
    <row r="86" spans="1:14" ht="15" customHeight="1">
      <c r="B86" s="92"/>
      <c r="C86" s="92"/>
      <c r="D86" s="50"/>
      <c r="E86" s="50"/>
      <c r="F86" s="50"/>
      <c r="G86" s="50"/>
      <c r="H86" s="50"/>
      <c r="I86" s="50"/>
      <c r="J86" s="50"/>
      <c r="K86" s="50"/>
      <c r="M86" s="13"/>
      <c r="N86" s="91"/>
    </row>
    <row r="87" spans="1:14" ht="15" customHeight="1">
      <c r="D87" s="22"/>
      <c r="E87" s="47"/>
      <c r="F87" s="47"/>
      <c r="G87" s="47"/>
      <c r="H87" s="47"/>
      <c r="I87" s="47"/>
      <c r="J87" s="47"/>
      <c r="K87" s="47"/>
      <c r="N87" s="91"/>
    </row>
    <row r="88" spans="1:14" s="12" customFormat="1" ht="15" customHeight="1">
      <c r="A88" s="12" t="s">
        <v>0</v>
      </c>
      <c r="B88" s="214" t="s">
        <v>3</v>
      </c>
      <c r="C88" s="214"/>
      <c r="D88" s="214"/>
      <c r="E88" s="214"/>
      <c r="F88" s="214"/>
      <c r="G88" s="214"/>
      <c r="H88" s="214"/>
      <c r="I88" s="214"/>
      <c r="J88" s="214"/>
      <c r="K88" s="214"/>
      <c r="L88" s="8"/>
      <c r="M88" s="8"/>
    </row>
    <row r="89" spans="1:14" s="12" customFormat="1" ht="15" customHeight="1">
      <c r="B89" s="28"/>
      <c r="C89" s="28"/>
      <c r="D89" s="27"/>
      <c r="E89" s="27"/>
      <c r="F89" s="27"/>
      <c r="G89" s="27"/>
      <c r="H89" s="27"/>
      <c r="I89" s="27"/>
      <c r="J89" s="27"/>
      <c r="K89" s="27"/>
      <c r="L89" s="8"/>
      <c r="M89" s="8"/>
    </row>
    <row r="90" spans="1:14" ht="15" customHeight="1" thickBot="1">
      <c r="B90" s="24" t="s">
        <v>130</v>
      </c>
      <c r="C90" s="24"/>
      <c r="D90" s="26">
        <f t="shared" ref="D90:K90" si="52">+D$5</f>
        <v>2022</v>
      </c>
      <c r="E90" s="26">
        <f t="shared" si="52"/>
        <v>2023</v>
      </c>
      <c r="F90" s="26">
        <f t="shared" si="52"/>
        <v>2024</v>
      </c>
      <c r="G90" s="25">
        <f t="shared" si="52"/>
        <v>2025</v>
      </c>
      <c r="H90" s="25">
        <f t="shared" si="52"/>
        <v>2026</v>
      </c>
      <c r="I90" s="25">
        <f t="shared" si="52"/>
        <v>2027</v>
      </c>
      <c r="J90" s="25">
        <f t="shared" si="52"/>
        <v>2028</v>
      </c>
      <c r="K90" s="25">
        <f t="shared" si="52"/>
        <v>2029</v>
      </c>
      <c r="M90" s="12"/>
      <c r="N90" s="12"/>
    </row>
    <row r="91" spans="1:14" ht="15" customHeight="1">
      <c r="B91" s="24"/>
      <c r="C91" s="24"/>
      <c r="D91" s="23"/>
      <c r="E91" s="23"/>
      <c r="F91" s="23"/>
      <c r="G91" s="23"/>
      <c r="H91" s="23"/>
      <c r="I91" s="23"/>
      <c r="J91" s="23"/>
      <c r="K91" s="23"/>
      <c r="M91" s="12"/>
    </row>
    <row r="92" spans="1:14" ht="15" customHeight="1">
      <c r="B92" s="17" t="s">
        <v>63</v>
      </c>
      <c r="C92" s="17"/>
      <c r="D92" s="177"/>
      <c r="E92" s="177"/>
      <c r="F92" s="177"/>
      <c r="G92" s="178"/>
      <c r="H92" s="178"/>
      <c r="I92" s="178"/>
      <c r="J92" s="178"/>
      <c r="K92" s="178"/>
    </row>
    <row r="93" spans="1:14" ht="15" customHeight="1">
      <c r="B93" s="15" t="s">
        <v>11</v>
      </c>
      <c r="D93" s="158">
        <f>D44</f>
        <v>44032</v>
      </c>
      <c r="E93" s="158">
        <f t="shared" ref="E93:K93" si="53">E44</f>
        <v>45749</v>
      </c>
      <c r="F93" s="158">
        <f t="shared" si="53"/>
        <v>41459</v>
      </c>
      <c r="G93" s="158">
        <f t="shared" si="53"/>
        <v>35553.340825905172</v>
      </c>
      <c r="H93" s="158">
        <f t="shared" si="53"/>
        <v>40919.849527820188</v>
      </c>
      <c r="I93" s="158">
        <f t="shared" si="53"/>
        <v>42804.637054082552</v>
      </c>
      <c r="J93" s="158">
        <f t="shared" si="53"/>
        <v>44764.816081395402</v>
      </c>
      <c r="K93" s="158">
        <f t="shared" si="53"/>
        <v>46803.402269800761</v>
      </c>
    </row>
    <row r="94" spans="1:14" ht="15" customHeight="1">
      <c r="B94" s="15" t="s">
        <v>109</v>
      </c>
      <c r="D94" s="158">
        <f>-D37</f>
        <v>85687</v>
      </c>
      <c r="E94" s="158">
        <f t="shared" ref="E94:K94" si="54">-E37</f>
        <v>83000</v>
      </c>
      <c r="F94" s="158">
        <f t="shared" si="54"/>
        <v>80700</v>
      </c>
      <c r="G94" s="158">
        <f t="shared" si="54"/>
        <v>87666.415468293693</v>
      </c>
      <c r="H94" s="158">
        <f t="shared" si="54"/>
        <v>91173.072087025444</v>
      </c>
      <c r="I94" s="158">
        <f t="shared" si="54"/>
        <v>94819.994970506465</v>
      </c>
      <c r="J94" s="158">
        <f t="shared" si="54"/>
        <v>98612.79476932672</v>
      </c>
      <c r="K94" s="158">
        <f t="shared" si="54"/>
        <v>102557.30656009979</v>
      </c>
    </row>
    <row r="95" spans="1:14" ht="15" customHeight="1">
      <c r="B95" s="15" t="s">
        <v>65</v>
      </c>
      <c r="D95" s="176"/>
      <c r="E95" s="176"/>
      <c r="F95" s="176"/>
      <c r="G95" s="176"/>
      <c r="H95" s="176"/>
      <c r="I95" s="176"/>
      <c r="J95" s="176"/>
      <c r="K95" s="176"/>
      <c r="M95" s="13"/>
    </row>
    <row r="96" spans="1:14" ht="15" customHeight="1">
      <c r="B96" s="88" t="s">
        <v>42</v>
      </c>
      <c r="C96" s="15"/>
      <c r="D96" s="158">
        <f>D143</f>
        <v>2606</v>
      </c>
      <c r="E96" s="158">
        <f>E143</f>
        <v>-14368</v>
      </c>
      <c r="F96" s="158">
        <f>F143</f>
        <v>-3391</v>
      </c>
      <c r="G96" s="158">
        <f>G143</f>
        <v>743.38787275279174</v>
      </c>
      <c r="H96" s="158">
        <f>H143</f>
        <v>-5016.2644850898796</v>
      </c>
      <c r="I96" s="158">
        <f>I143</f>
        <v>-5216.9150644934998</v>
      </c>
      <c r="J96" s="158">
        <f>J143</f>
        <v>-5425.5916670732258</v>
      </c>
      <c r="K96" s="158">
        <f>K143</f>
        <v>-5642.6153337561409</v>
      </c>
      <c r="M96" s="13"/>
    </row>
    <row r="97" spans="2:13" ht="15" customHeight="1">
      <c r="B97" s="88" t="s">
        <v>64</v>
      </c>
      <c r="C97" s="15"/>
      <c r="D97" s="158">
        <f>D144</f>
        <v>-2224</v>
      </c>
      <c r="E97" s="158">
        <f>E144</f>
        <v>241</v>
      </c>
      <c r="F97" s="158">
        <f>F144</f>
        <v>1860</v>
      </c>
      <c r="G97" s="158">
        <f>G144</f>
        <v>-1945.9720209086699</v>
      </c>
      <c r="H97" s="158">
        <f>H144</f>
        <v>-489.15888083634491</v>
      </c>
      <c r="I97" s="158">
        <f>I144</f>
        <v>-508.7252360698003</v>
      </c>
      <c r="J97" s="158">
        <f>J144</f>
        <v>-529.07424551259464</v>
      </c>
      <c r="K97" s="158">
        <f>K144</f>
        <v>-550.23721533309617</v>
      </c>
    </row>
    <row r="98" spans="2:13" ht="15" customHeight="1">
      <c r="B98" s="88" t="s">
        <v>40</v>
      </c>
      <c r="C98" s="15"/>
      <c r="D98" s="158">
        <f>D145</f>
        <v>34057</v>
      </c>
      <c r="E98" s="158">
        <f>E145</f>
        <v>9767</v>
      </c>
      <c r="F98" s="158">
        <f>F145</f>
        <v>-4783</v>
      </c>
      <c r="G98" s="158">
        <f>G145</f>
        <v>6466.300757962701</v>
      </c>
      <c r="H98" s="158">
        <f>H145</f>
        <v>5123.4120303184754</v>
      </c>
      <c r="I98" s="158">
        <f>I145</f>
        <v>5328.3485115312506</v>
      </c>
      <c r="J98" s="158">
        <f>J145</f>
        <v>5541.4824519925169</v>
      </c>
      <c r="K98" s="158">
        <f>K145</f>
        <v>5763.1417500721873</v>
      </c>
      <c r="M98" s="13"/>
    </row>
    <row r="99" spans="2:13" ht="15" customHeight="1">
      <c r="B99" s="88" t="s">
        <v>124</v>
      </c>
      <c r="D99" s="158">
        <f>D43</f>
        <v>-18768</v>
      </c>
      <c r="E99" s="158">
        <f t="shared" ref="E99:K99" si="55">E43</f>
        <v>-16985</v>
      </c>
      <c r="F99" s="158">
        <f t="shared" si="55"/>
        <v>-16669</v>
      </c>
      <c r="G99" s="158">
        <f t="shared" si="55"/>
        <v>-14521.787097904928</v>
      </c>
      <c r="H99" s="158">
        <f t="shared" si="55"/>
        <v>-16713.741356433598</v>
      </c>
      <c r="I99" s="158">
        <f t="shared" si="55"/>
        <v>-17483.584148850619</v>
      </c>
      <c r="J99" s="158">
        <f t="shared" si="55"/>
        <v>-18284.220652964315</v>
      </c>
      <c r="K99" s="158">
        <f t="shared" si="55"/>
        <v>-19116.882617242562</v>
      </c>
      <c r="M99" s="13"/>
    </row>
    <row r="100" spans="2:13" ht="15" customHeight="1">
      <c r="B100" s="88" t="s">
        <v>125</v>
      </c>
      <c r="D100" s="158">
        <f>D101-(SUM(D93:D99))</f>
        <v>-19427</v>
      </c>
      <c r="E100" s="158">
        <f t="shared" ref="E100:F100" si="56">E101-(SUM(E93:E99))</f>
        <v>16810</v>
      </c>
      <c r="F100" s="158">
        <f t="shared" si="56"/>
        <v>17801</v>
      </c>
      <c r="G100" s="158">
        <f>AVERAGE(D100:F100)</f>
        <v>5061.333333333333</v>
      </c>
      <c r="H100" s="158">
        <f t="shared" ref="H100:K100" si="57">AVERAGE(E100:G100)</f>
        <v>13224.111111111111</v>
      </c>
      <c r="I100" s="158">
        <f t="shared" si="57"/>
        <v>12028.814814814816</v>
      </c>
      <c r="J100" s="158">
        <f t="shared" si="57"/>
        <v>10104.753086419754</v>
      </c>
      <c r="K100" s="158">
        <f t="shared" si="57"/>
        <v>11785.893004115227</v>
      </c>
      <c r="M100" s="13"/>
    </row>
    <row r="101" spans="2:13" ht="15" customHeight="1">
      <c r="B101" s="15" t="s">
        <v>126</v>
      </c>
      <c r="D101" s="158">
        <v>125963</v>
      </c>
      <c r="E101" s="158">
        <v>124214</v>
      </c>
      <c r="F101" s="158">
        <v>116977</v>
      </c>
      <c r="G101" s="164">
        <f>SUM(G93:G100)</f>
        <v>119023.01913943408</v>
      </c>
      <c r="H101" s="164">
        <f t="shared" ref="H101:K101" si="58">SUM(H93:H100)</f>
        <v>128221.28003391541</v>
      </c>
      <c r="I101" s="164">
        <f t="shared" si="58"/>
        <v>131772.57090152116</v>
      </c>
      <c r="J101" s="164">
        <f t="shared" si="58"/>
        <v>134784.95982358424</v>
      </c>
      <c r="K101" s="164">
        <f t="shared" si="58"/>
        <v>141600.00841775615</v>
      </c>
      <c r="M101" s="13"/>
    </row>
    <row r="102" spans="2:13" ht="15" customHeight="1">
      <c r="D102" s="164"/>
      <c r="E102" s="164"/>
      <c r="F102" s="164"/>
      <c r="G102" s="155"/>
      <c r="H102" s="155"/>
      <c r="I102" s="155"/>
      <c r="J102" s="155"/>
      <c r="K102" s="155"/>
      <c r="M102" s="13"/>
    </row>
    <row r="103" spans="2:13" ht="15" customHeight="1">
      <c r="D103" s="155"/>
      <c r="E103" s="155"/>
      <c r="F103" s="155"/>
      <c r="G103" s="155"/>
      <c r="H103" s="155"/>
      <c r="I103" s="155"/>
      <c r="J103" s="155"/>
      <c r="K103" s="155"/>
    </row>
    <row r="104" spans="2:13" ht="15" customHeight="1">
      <c r="B104" s="17" t="s">
        <v>62</v>
      </c>
      <c r="C104" s="17"/>
      <c r="D104" s="176"/>
      <c r="E104" s="159"/>
      <c r="F104" s="176"/>
      <c r="G104" s="164"/>
      <c r="H104" s="164"/>
      <c r="I104" s="164"/>
      <c r="J104" s="164"/>
      <c r="K104" s="164"/>
    </row>
    <row r="105" spans="2:13" ht="15" customHeight="1">
      <c r="B105" s="15" t="s">
        <v>122</v>
      </c>
      <c r="D105" s="158">
        <v>-68161</v>
      </c>
      <c r="E105" s="158">
        <v>-75317</v>
      </c>
      <c r="F105" s="158">
        <v>-64395</v>
      </c>
      <c r="G105" s="158">
        <f>AVERAGE(D105:F105)</f>
        <v>-69291</v>
      </c>
      <c r="H105" s="158">
        <f t="shared" ref="H105:K106" si="59">AVERAGE(E105:G105)</f>
        <v>-69667.666666666672</v>
      </c>
      <c r="I105" s="158">
        <f t="shared" si="59"/>
        <v>-67784.555555555562</v>
      </c>
      <c r="J105" s="158">
        <f t="shared" si="59"/>
        <v>-68914.407407407416</v>
      </c>
      <c r="K105" s="158">
        <f t="shared" si="59"/>
        <v>-68788.876543209888</v>
      </c>
      <c r="M105" s="13"/>
    </row>
    <row r="106" spans="2:13" ht="15" customHeight="1">
      <c r="B106" s="15" t="s">
        <v>127</v>
      </c>
      <c r="D106" s="158">
        <f>D107-D105</f>
        <v>1767</v>
      </c>
      <c r="E106" s="158">
        <f t="shared" ref="E106:F106" si="60">E107-E105</f>
        <v>2738</v>
      </c>
      <c r="F106" s="158">
        <f t="shared" si="60"/>
        <v>1695</v>
      </c>
      <c r="G106" s="158">
        <f>AVERAGE(D106:F106)</f>
        <v>2066.6666666666665</v>
      </c>
      <c r="H106" s="158">
        <f t="shared" si="59"/>
        <v>2166.5555555555552</v>
      </c>
      <c r="I106" s="158">
        <f t="shared" si="59"/>
        <v>1976.0740740740739</v>
      </c>
      <c r="J106" s="158">
        <f t="shared" si="59"/>
        <v>2069.7654320987654</v>
      </c>
      <c r="K106" s="158">
        <f t="shared" si="59"/>
        <v>2070.7983539094653</v>
      </c>
      <c r="M106" s="13"/>
    </row>
    <row r="107" spans="2:13" ht="15" customHeight="1">
      <c r="B107" s="15" t="s">
        <v>60</v>
      </c>
      <c r="D107" s="175">
        <v>-66394</v>
      </c>
      <c r="E107" s="175">
        <v>-72579</v>
      </c>
      <c r="F107" s="175">
        <v>-62700</v>
      </c>
      <c r="G107" s="175">
        <f>SUM(G105:G106)</f>
        <v>-67224.333333333328</v>
      </c>
      <c r="H107" s="175">
        <f t="shared" ref="H107:K107" si="61">SUM(H105:H106)</f>
        <v>-67501.111111111109</v>
      </c>
      <c r="I107" s="175">
        <f t="shared" si="61"/>
        <v>-65808.481481481489</v>
      </c>
      <c r="J107" s="175">
        <f t="shared" si="61"/>
        <v>-66844.641975308652</v>
      </c>
      <c r="K107" s="175">
        <f t="shared" si="61"/>
        <v>-66718.078189300417</v>
      </c>
    </row>
    <row r="108" spans="2:13" ht="15" customHeight="1">
      <c r="D108" s="155"/>
      <c r="E108" s="155"/>
      <c r="F108" s="155"/>
      <c r="G108" s="155"/>
      <c r="H108" s="155"/>
      <c r="I108" s="155"/>
      <c r="J108" s="155"/>
      <c r="K108" s="155"/>
    </row>
    <row r="109" spans="2:13" ht="15" customHeight="1">
      <c r="D109" s="155"/>
      <c r="E109" s="155"/>
      <c r="F109" s="155"/>
      <c r="G109" s="155"/>
      <c r="H109" s="155"/>
      <c r="I109" s="155"/>
      <c r="J109" s="155"/>
      <c r="K109" s="155"/>
      <c r="M109" s="13"/>
    </row>
    <row r="110" spans="2:13" ht="15" customHeight="1">
      <c r="B110" s="17" t="s">
        <v>59</v>
      </c>
      <c r="C110" s="17"/>
      <c r="D110" s="176"/>
      <c r="E110" s="176"/>
      <c r="F110" s="176"/>
      <c r="G110" s="164"/>
      <c r="H110" s="164"/>
      <c r="I110" s="164"/>
      <c r="J110" s="164"/>
      <c r="K110" s="164"/>
      <c r="M110" s="13"/>
    </row>
    <row r="111" spans="2:13" ht="15" customHeight="1">
      <c r="B111" s="15" t="s">
        <v>58</v>
      </c>
      <c r="D111" s="159">
        <v>0</v>
      </c>
      <c r="E111" s="158">
        <f>E167</f>
        <v>0</v>
      </c>
      <c r="F111" s="158">
        <f>F167</f>
        <v>0</v>
      </c>
      <c r="G111" s="158">
        <f>G167</f>
        <v>0</v>
      </c>
      <c r="H111" s="158">
        <f>H167</f>
        <v>0</v>
      </c>
      <c r="I111" s="158">
        <f>I167</f>
        <v>0</v>
      </c>
      <c r="J111" s="158">
        <f>J167</f>
        <v>0</v>
      </c>
      <c r="K111" s="158">
        <f>K167</f>
        <v>0</v>
      </c>
      <c r="M111" s="13"/>
    </row>
    <row r="112" spans="2:13" ht="15" customHeight="1">
      <c r="B112" s="15" t="s">
        <v>57</v>
      </c>
      <c r="D112" s="158">
        <f>-D46</f>
        <v>-27000</v>
      </c>
      <c r="E112" s="158">
        <f t="shared" ref="E112:K112" si="62">-E46</f>
        <v>-39375</v>
      </c>
      <c r="F112" s="158">
        <f t="shared" si="62"/>
        <v>-41250</v>
      </c>
      <c r="G112" s="158">
        <f t="shared" si="62"/>
        <v>-29258.311715976695</v>
      </c>
      <c r="H112" s="158">
        <f t="shared" si="62"/>
        <v>-33674.633242439981</v>
      </c>
      <c r="I112" s="158">
        <f t="shared" si="62"/>
        <v>-35225.702696975968</v>
      </c>
      <c r="J112" s="158">
        <f t="shared" si="62"/>
        <v>-36838.814929693392</v>
      </c>
      <c r="K112" s="158">
        <f t="shared" si="62"/>
        <v>-38516.451651719508</v>
      </c>
      <c r="M112" s="13"/>
    </row>
    <row r="113" spans="1:14" ht="15" customHeight="1">
      <c r="B113" s="15" t="s">
        <v>56</v>
      </c>
      <c r="D113" s="158">
        <f>-D115-D114-D112-D111</f>
        <v>89253</v>
      </c>
      <c r="E113" s="158">
        <f>E157</f>
        <v>-27066</v>
      </c>
      <c r="F113" s="158">
        <f>F157</f>
        <v>70614</v>
      </c>
      <c r="G113" s="158">
        <f>G157</f>
        <v>-38054</v>
      </c>
      <c r="H113" s="158">
        <f>H157</f>
        <v>0</v>
      </c>
      <c r="I113" s="158">
        <f>I157</f>
        <v>0</v>
      </c>
      <c r="J113" s="158">
        <f>J157</f>
        <v>0</v>
      </c>
      <c r="K113" s="158">
        <f>K157</f>
        <v>0</v>
      </c>
    </row>
    <row r="114" spans="1:14" ht="15" customHeight="1">
      <c r="B114" s="15" t="s">
        <v>128</v>
      </c>
      <c r="D114" s="158">
        <v>-4761</v>
      </c>
      <c r="E114" s="158">
        <v>-9386</v>
      </c>
      <c r="F114" s="158">
        <v>-94314</v>
      </c>
      <c r="G114" s="158">
        <f>AVERAGE(D114:E114)</f>
        <v>-7073.5</v>
      </c>
      <c r="H114" s="158">
        <f>AVERAGE(E114:G114)</f>
        <v>-36924.5</v>
      </c>
      <c r="I114" s="158">
        <f t="shared" ref="H114:K114" si="63">AVERAGE(F114:H114)</f>
        <v>-46104</v>
      </c>
      <c r="J114" s="158">
        <f t="shared" si="63"/>
        <v>-30034</v>
      </c>
      <c r="K114" s="158">
        <f t="shared" si="63"/>
        <v>-37687.5</v>
      </c>
      <c r="M114" s="13"/>
    </row>
    <row r="115" spans="1:14" ht="15" customHeight="1">
      <c r="B115" s="15" t="s">
        <v>55</v>
      </c>
      <c r="D115" s="158">
        <v>-57492</v>
      </c>
      <c r="E115" s="175">
        <f>SUM(E111:E114)</f>
        <v>-75827</v>
      </c>
      <c r="F115" s="175">
        <f>SUM(F111:F114)</f>
        <v>-64950</v>
      </c>
      <c r="G115" s="175">
        <f t="shared" ref="G115:K115" si="64">SUM(G111:G114)</f>
        <v>-74385.811715976699</v>
      </c>
      <c r="H115" s="175">
        <f t="shared" si="64"/>
        <v>-70599.133242439973</v>
      </c>
      <c r="I115" s="175">
        <f t="shared" si="64"/>
        <v>-81329.702696975961</v>
      </c>
      <c r="J115" s="175">
        <f t="shared" si="64"/>
        <v>-66872.814929693384</v>
      </c>
      <c r="K115" s="175">
        <f t="shared" si="64"/>
        <v>-76203.951651719515</v>
      </c>
      <c r="M115" s="13"/>
    </row>
    <row r="116" spans="1:14" ht="15" customHeight="1">
      <c r="B116" s="15"/>
      <c r="D116" s="176"/>
      <c r="E116" s="179"/>
      <c r="F116" s="179"/>
      <c r="G116" s="164"/>
      <c r="H116" s="164"/>
      <c r="I116" s="164"/>
      <c r="J116" s="164"/>
      <c r="K116" s="164"/>
      <c r="M116" s="13"/>
    </row>
    <row r="117" spans="1:14" ht="15" customHeight="1">
      <c r="B117" s="15" t="s">
        <v>54</v>
      </c>
      <c r="D117" s="159">
        <v>57372</v>
      </c>
      <c r="E117" s="158">
        <f>D120</f>
        <v>64320</v>
      </c>
      <c r="F117" s="158">
        <f t="shared" ref="F117:K117" si="65">E120</f>
        <v>66878</v>
      </c>
      <c r="G117" s="158">
        <f t="shared" si="65"/>
        <v>64368</v>
      </c>
      <c r="H117" s="158">
        <f t="shared" si="65"/>
        <v>72269.079053068621</v>
      </c>
      <c r="I117" s="158">
        <f t="shared" si="65"/>
        <v>77998.06178061878</v>
      </c>
      <c r="J117" s="158">
        <f t="shared" si="65"/>
        <v>74470.741385730493</v>
      </c>
      <c r="K117" s="158">
        <f t="shared" si="65"/>
        <v>89500.94179288848</v>
      </c>
    </row>
    <row r="118" spans="1:14" s="12" customFormat="1" ht="15" customHeight="1">
      <c r="B118" s="15" t="s">
        <v>53</v>
      </c>
      <c r="C118" s="8"/>
      <c r="D118" s="158">
        <f>D101+D107+D115</f>
        <v>2077</v>
      </c>
      <c r="E118" s="158">
        <f t="shared" ref="E118:K118" si="66">E101+E107+E115</f>
        <v>-24192</v>
      </c>
      <c r="F118" s="158">
        <f t="shared" si="66"/>
        <v>-10673</v>
      </c>
      <c r="G118" s="158">
        <f>G101+G107+G115</f>
        <v>-22587.125909875947</v>
      </c>
      <c r="H118" s="158">
        <f t="shared" si="66"/>
        <v>-9878.9643196356774</v>
      </c>
      <c r="I118" s="158">
        <f t="shared" si="66"/>
        <v>-15365.613276936288</v>
      </c>
      <c r="J118" s="158">
        <f t="shared" si="66"/>
        <v>1067.5029185822059</v>
      </c>
      <c r="K118" s="158">
        <f t="shared" si="66"/>
        <v>-1322.0214232637809</v>
      </c>
      <c r="L118" s="8"/>
      <c r="M118" s="8"/>
    </row>
    <row r="119" spans="1:14" s="12" customFormat="1" ht="15" customHeight="1">
      <c r="B119" s="15" t="s">
        <v>129</v>
      </c>
      <c r="D119" s="180">
        <v>4871</v>
      </c>
      <c r="E119" s="180">
        <v>26750</v>
      </c>
      <c r="F119" s="180">
        <v>8163</v>
      </c>
      <c r="G119" s="180">
        <f>AVERAGE($D$119:$F$119)</f>
        <v>13261.333333333334</v>
      </c>
      <c r="H119" s="180">
        <f t="shared" ref="H119:K119" si="67">AVERAGE(E119:G119)</f>
        <v>16058.111111111111</v>
      </c>
      <c r="I119" s="180">
        <f t="shared" si="67"/>
        <v>12494.148148148148</v>
      </c>
      <c r="J119" s="180">
        <f t="shared" si="67"/>
        <v>13937.864197530864</v>
      </c>
      <c r="K119" s="180">
        <f t="shared" si="67"/>
        <v>14163.374485596709</v>
      </c>
      <c r="L119" s="8"/>
      <c r="M119" s="8"/>
    </row>
    <row r="120" spans="1:14" s="12" customFormat="1" ht="15" customHeight="1" thickBot="1">
      <c r="B120" s="34" t="s">
        <v>52</v>
      </c>
      <c r="C120" s="17"/>
      <c r="D120" s="171">
        <f>SUM(D117:D119)</f>
        <v>64320</v>
      </c>
      <c r="E120" s="171">
        <f>SUM(E117:E119)</f>
        <v>66878</v>
      </c>
      <c r="F120" s="171">
        <f>SUM(F117:F119)</f>
        <v>64368</v>
      </c>
      <c r="G120" s="171">
        <f>SUM(G117:G119)-G121</f>
        <v>72269.079053068621</v>
      </c>
      <c r="H120" s="171">
        <f>SUM(H117:H119)-H121</f>
        <v>77998.06178061878</v>
      </c>
      <c r="I120" s="171">
        <f>SUM(I117:I119)-I121</f>
        <v>74470.741385730493</v>
      </c>
      <c r="J120" s="171">
        <f>SUM(J117:J119)-J121</f>
        <v>89500.94179288848</v>
      </c>
      <c r="K120" s="171">
        <f>SUM(K117:K119)-K121</f>
        <v>95916.247455574106</v>
      </c>
      <c r="L120" s="8"/>
    </row>
    <row r="121" spans="1:14" s="12" customFormat="1" ht="15" customHeight="1">
      <c r="B121" s="17"/>
      <c r="C121" s="17"/>
      <c r="D121" s="181">
        <v>0</v>
      </c>
      <c r="E121" s="181">
        <v>0</v>
      </c>
      <c r="F121" s="181">
        <v>0</v>
      </c>
      <c r="G121" s="181">
        <v>-17226.87162961124</v>
      </c>
      <c r="H121" s="181">
        <v>450.16406392527279</v>
      </c>
      <c r="I121" s="181">
        <v>655.85526610014495</v>
      </c>
      <c r="J121" s="181">
        <v>-24.833291044924408</v>
      </c>
      <c r="K121" s="181">
        <v>6426.0473996473011</v>
      </c>
      <c r="L121" s="8"/>
    </row>
    <row r="122" spans="1:14" ht="15" customHeight="1">
      <c r="B122" s="9"/>
      <c r="C122" s="9"/>
      <c r="D122" s="30"/>
      <c r="E122" s="30"/>
      <c r="F122" s="30"/>
      <c r="G122" s="30"/>
      <c r="H122" s="30"/>
      <c r="I122" s="30"/>
      <c r="J122" s="30"/>
      <c r="K122" s="30"/>
      <c r="M122" s="12"/>
      <c r="N122" s="64"/>
    </row>
    <row r="123" spans="1:14" ht="15" customHeight="1">
      <c r="D123" s="22"/>
      <c r="E123" s="22"/>
      <c r="F123" s="22"/>
      <c r="G123" s="22"/>
      <c r="H123" s="22"/>
      <c r="I123" s="22"/>
      <c r="J123" s="22"/>
      <c r="K123" s="22"/>
      <c r="M123" s="12"/>
      <c r="N123" s="64"/>
    </row>
    <row r="124" spans="1:14" ht="15" customHeight="1">
      <c r="A124" s="8" t="s">
        <v>0</v>
      </c>
      <c r="B124" s="214" t="s">
        <v>123</v>
      </c>
      <c r="C124" s="214"/>
      <c r="D124" s="214"/>
      <c r="E124" s="214"/>
      <c r="F124" s="214"/>
      <c r="G124" s="214"/>
      <c r="H124" s="214"/>
      <c r="I124" s="214"/>
      <c r="J124" s="214"/>
      <c r="K124" s="214"/>
      <c r="M124" s="13"/>
      <c r="N124" s="64"/>
    </row>
    <row r="125" spans="1:14" ht="15" customHeight="1">
      <c r="B125" s="28"/>
      <c r="C125" s="28"/>
      <c r="D125" s="27"/>
      <c r="E125" s="27"/>
      <c r="F125" s="27"/>
      <c r="G125" s="27"/>
      <c r="H125" s="27"/>
      <c r="I125" s="27"/>
      <c r="J125" s="27"/>
      <c r="K125" s="27"/>
      <c r="M125" s="13"/>
      <c r="N125" s="64"/>
    </row>
    <row r="126" spans="1:14" ht="15" customHeight="1" thickBot="1">
      <c r="B126" s="24" t="s">
        <v>130</v>
      </c>
      <c r="C126" s="24"/>
      <c r="D126" s="26">
        <f t="shared" ref="D124:K126" si="68">+D$5</f>
        <v>2022</v>
      </c>
      <c r="E126" s="26">
        <f t="shared" si="68"/>
        <v>2023</v>
      </c>
      <c r="F126" s="26">
        <f t="shared" si="68"/>
        <v>2024</v>
      </c>
      <c r="G126" s="25">
        <f t="shared" si="68"/>
        <v>2025</v>
      </c>
      <c r="H126" s="25">
        <f t="shared" si="68"/>
        <v>2026</v>
      </c>
      <c r="I126" s="25">
        <f t="shared" si="68"/>
        <v>2027</v>
      </c>
      <c r="J126" s="25">
        <f t="shared" si="68"/>
        <v>2028</v>
      </c>
      <c r="K126" s="25">
        <f t="shared" si="68"/>
        <v>2029</v>
      </c>
      <c r="M126" s="13"/>
      <c r="N126" s="64"/>
    </row>
    <row r="127" spans="1:14" ht="15" customHeight="1">
      <c r="B127" s="28"/>
      <c r="C127" s="28"/>
      <c r="D127" s="27"/>
      <c r="E127" s="27"/>
      <c r="F127" s="27"/>
      <c r="G127" s="27"/>
      <c r="H127" s="27"/>
      <c r="I127" s="27"/>
      <c r="J127" s="27"/>
      <c r="K127" s="27"/>
      <c r="M127" s="13"/>
    </row>
    <row r="128" spans="1:14" ht="15" customHeight="1">
      <c r="B128" s="8" t="s">
        <v>50</v>
      </c>
      <c r="D128" s="182">
        <f>D7</f>
        <v>365</v>
      </c>
      <c r="E128" s="175">
        <f>E7</f>
        <v>365</v>
      </c>
      <c r="F128" s="175">
        <f>F7</f>
        <v>365</v>
      </c>
      <c r="G128" s="175">
        <f>G7</f>
        <v>365</v>
      </c>
      <c r="H128" s="175">
        <f>H7</f>
        <v>365</v>
      </c>
      <c r="I128" s="175">
        <f>I7</f>
        <v>365</v>
      </c>
      <c r="J128" s="175">
        <f>J7</f>
        <v>365</v>
      </c>
      <c r="K128" s="183">
        <f>K7</f>
        <v>365</v>
      </c>
    </row>
    <row r="129" spans="2:14" ht="15" customHeight="1">
      <c r="B129" s="8" t="s">
        <v>14</v>
      </c>
      <c r="D129" s="184">
        <f>D32</f>
        <v>347568</v>
      </c>
      <c r="E129" s="185">
        <f>E32</f>
        <v>360716</v>
      </c>
      <c r="F129" s="185">
        <f>F32</f>
        <v>361252</v>
      </c>
      <c r="G129" s="185">
        <f>G32</f>
        <v>375702.08</v>
      </c>
      <c r="H129" s="185">
        <f>H32</f>
        <v>390730.16320000001</v>
      </c>
      <c r="I129" s="185">
        <f>I32</f>
        <v>406359.36972800002</v>
      </c>
      <c r="J129" s="185">
        <f>J32</f>
        <v>422613.74451712001</v>
      </c>
      <c r="K129" s="186">
        <f>K32</f>
        <v>439518.29429780482</v>
      </c>
      <c r="M129" s="13"/>
    </row>
    <row r="130" spans="2:14" ht="15" customHeight="1">
      <c r="B130" s="8" t="s">
        <v>137</v>
      </c>
      <c r="D130" s="184">
        <f>D33</f>
        <v>-125319</v>
      </c>
      <c r="E130" s="185">
        <f>E33</f>
        <v>-132187</v>
      </c>
      <c r="F130" s="185">
        <f>F33</f>
        <v>-126221</v>
      </c>
      <c r="G130" s="185">
        <f>G33</f>
        <v>-134803.87075546797</v>
      </c>
      <c r="H130" s="185">
        <f>H33</f>
        <v>-140196.02558568667</v>
      </c>
      <c r="I130" s="185">
        <f>I33</f>
        <v>-145803.86660911413</v>
      </c>
      <c r="J130" s="185">
        <f>J33</f>
        <v>-151636.02127347872</v>
      </c>
      <c r="K130" s="186">
        <f>K33</f>
        <v>-157701.46212441786</v>
      </c>
      <c r="M130" s="13"/>
    </row>
    <row r="131" spans="2:14" ht="15" customHeight="1">
      <c r="B131" s="8" t="s">
        <v>48</v>
      </c>
      <c r="D131" s="187">
        <f>D43</f>
        <v>-18768</v>
      </c>
      <c r="E131" s="188">
        <f>E43</f>
        <v>-16985</v>
      </c>
      <c r="F131" s="188">
        <f>F43</f>
        <v>-16669</v>
      </c>
      <c r="G131" s="188">
        <f>G43</f>
        <v>-14521.787097904928</v>
      </c>
      <c r="H131" s="188">
        <f>H43</f>
        <v>-16713.741356433598</v>
      </c>
      <c r="I131" s="188">
        <f>I43</f>
        <v>-17483.584148850619</v>
      </c>
      <c r="J131" s="188">
        <f>J43</f>
        <v>-18284.220652964315</v>
      </c>
      <c r="K131" s="189">
        <f>K43</f>
        <v>-19116.882617242562</v>
      </c>
      <c r="M131" s="13"/>
      <c r="N131" s="64"/>
    </row>
    <row r="132" spans="2:14" ht="15" customHeight="1">
      <c r="B132" s="17"/>
      <c r="C132" s="17"/>
      <c r="D132" s="190"/>
      <c r="E132" s="190"/>
      <c r="F132" s="190"/>
      <c r="G132" s="191"/>
      <c r="H132" s="191"/>
      <c r="I132" s="191"/>
      <c r="J132" s="191"/>
      <c r="K132" s="191"/>
      <c r="M132" s="13"/>
      <c r="N132" s="64"/>
    </row>
    <row r="133" spans="2:14" ht="15" customHeight="1">
      <c r="B133" s="8" t="s">
        <v>42</v>
      </c>
      <c r="C133" s="57" t="s">
        <v>47</v>
      </c>
      <c r="D133" s="158">
        <f>D19</f>
        <v>113.82726545596833</v>
      </c>
      <c r="E133" s="158">
        <f>E19</f>
        <v>124.21693243438051</v>
      </c>
      <c r="F133" s="158">
        <f>F19</f>
        <v>127.4588099166233</v>
      </c>
      <c r="G133" s="158">
        <f>G19</f>
        <v>121.83433593565739</v>
      </c>
      <c r="H133" s="158">
        <f>H19</f>
        <v>121.83433593565739</v>
      </c>
      <c r="I133" s="158">
        <f>I19</f>
        <v>121.83433593565739</v>
      </c>
      <c r="J133" s="158">
        <f>J19</f>
        <v>121.83433593565739</v>
      </c>
      <c r="K133" s="158">
        <f>K19</f>
        <v>121.83433593565739</v>
      </c>
    </row>
    <row r="134" spans="2:14" ht="15" customHeight="1">
      <c r="B134" s="8" t="s">
        <v>41</v>
      </c>
      <c r="C134" s="57" t="s">
        <v>47</v>
      </c>
      <c r="D134" s="158">
        <f>D20</f>
        <v>36.069231321667104</v>
      </c>
      <c r="E134" s="158">
        <f>E20</f>
        <v>33.529734391430317</v>
      </c>
      <c r="F134" s="158">
        <f>F20</f>
        <v>29.735899731423459</v>
      </c>
      <c r="G134" s="158">
        <f>G20</f>
        <v>33.111621814840291</v>
      </c>
      <c r="H134" s="158">
        <f>H20</f>
        <v>33.111621814840291</v>
      </c>
      <c r="I134" s="158">
        <f>I20</f>
        <v>33.111621814840291</v>
      </c>
      <c r="J134" s="158">
        <f>J20</f>
        <v>33.111621814840291</v>
      </c>
      <c r="K134" s="158">
        <f>K20</f>
        <v>33.111621814840291</v>
      </c>
    </row>
    <row r="135" spans="2:14" ht="15" customHeight="1">
      <c r="B135" s="8" t="s">
        <v>40</v>
      </c>
      <c r="C135" s="57" t="s">
        <v>47</v>
      </c>
      <c r="D135" s="158">
        <f>D21</f>
        <v>339.70726705447697</v>
      </c>
      <c r="E135" s="158">
        <f>E21</f>
        <v>349.02622799518861</v>
      </c>
      <c r="F135" s="158">
        <f>F21</f>
        <v>351.69215106836424</v>
      </c>
      <c r="G135" s="158">
        <f>G21</f>
        <v>346.80854870600996</v>
      </c>
      <c r="H135" s="158">
        <f>H21</f>
        <v>346.80854870600996</v>
      </c>
      <c r="I135" s="158">
        <f>I21</f>
        <v>346.80854870600996</v>
      </c>
      <c r="J135" s="158">
        <f>J21</f>
        <v>346.80854870600996</v>
      </c>
      <c r="K135" s="158">
        <f>K21</f>
        <v>346.80854870600996</v>
      </c>
      <c r="M135" s="13"/>
    </row>
    <row r="136" spans="2:14" ht="15" customHeight="1">
      <c r="D136" s="155"/>
      <c r="E136" s="155"/>
      <c r="F136" s="155"/>
      <c r="G136" s="155"/>
      <c r="H136" s="155"/>
      <c r="I136" s="155"/>
      <c r="J136" s="155"/>
      <c r="K136" s="155"/>
      <c r="M136" s="13"/>
    </row>
    <row r="137" spans="2:14" ht="15" customHeight="1">
      <c r="B137" s="17" t="s">
        <v>45</v>
      </c>
      <c r="D137" s="190"/>
      <c r="E137" s="190"/>
      <c r="F137" s="190"/>
      <c r="G137" s="191"/>
      <c r="H137" s="191"/>
      <c r="I137" s="191"/>
      <c r="J137" s="191"/>
      <c r="K137" s="191"/>
      <c r="M137" s="13"/>
      <c r="N137" s="64"/>
    </row>
    <row r="138" spans="2:14" ht="15" customHeight="1">
      <c r="B138" s="15" t="s">
        <v>42</v>
      </c>
      <c r="D138" s="192">
        <f>D56</f>
        <v>108391</v>
      </c>
      <c r="E138" s="192">
        <f>E56</f>
        <v>122759</v>
      </c>
      <c r="F138" s="192">
        <f>F56</f>
        <v>126150</v>
      </c>
      <c r="G138" s="192">
        <f>G133/G128*G129</f>
        <v>125406.61212724721</v>
      </c>
      <c r="H138" s="192">
        <f t="shared" ref="H138:K138" si="69">H133/H128*H129</f>
        <v>130422.87661233709</v>
      </c>
      <c r="I138" s="192">
        <f t="shared" si="69"/>
        <v>135639.79167683059</v>
      </c>
      <c r="J138" s="192">
        <f t="shared" si="69"/>
        <v>141065.38334390381</v>
      </c>
      <c r="K138" s="192">
        <f t="shared" si="69"/>
        <v>146707.99867765995</v>
      </c>
      <c r="M138" s="13"/>
      <c r="N138" s="64"/>
    </row>
    <row r="139" spans="2:14" ht="15" customHeight="1">
      <c r="B139" s="15" t="s">
        <v>41</v>
      </c>
      <c r="D139" s="192">
        <f>D57</f>
        <v>12384</v>
      </c>
      <c r="E139" s="192">
        <f>E57</f>
        <v>12143</v>
      </c>
      <c r="F139" s="192">
        <f>F57</f>
        <v>10283</v>
      </c>
      <c r="G139" s="192">
        <f>G134/G128*-G130</f>
        <v>12228.97202090867</v>
      </c>
      <c r="H139" s="192">
        <f t="shared" ref="H139:K139" si="70">H134/H128*-H130</f>
        <v>12718.130901745015</v>
      </c>
      <c r="I139" s="192">
        <f t="shared" si="70"/>
        <v>13226.856137814815</v>
      </c>
      <c r="J139" s="192">
        <f t="shared" si="70"/>
        <v>13755.93038332741</v>
      </c>
      <c r="K139" s="192">
        <f t="shared" si="70"/>
        <v>14306.167598660506</v>
      </c>
      <c r="N139" s="64"/>
    </row>
    <row r="140" spans="2:14" ht="15" customHeight="1">
      <c r="B140" s="15" t="s">
        <v>40</v>
      </c>
      <c r="D140" s="192">
        <f>D66</f>
        <v>116635</v>
      </c>
      <c r="E140" s="192">
        <f>E66</f>
        <v>126402</v>
      </c>
      <c r="F140" s="192">
        <f>F66</f>
        <v>121619</v>
      </c>
      <c r="G140" s="192">
        <f>G135/G128*-G130</f>
        <v>128085.3007579627</v>
      </c>
      <c r="H140" s="192">
        <f t="shared" ref="H140:K140" si="71">H135/H128*-H130</f>
        <v>133208.71278828118</v>
      </c>
      <c r="I140" s="192">
        <f t="shared" si="71"/>
        <v>138537.06129981243</v>
      </c>
      <c r="J140" s="192">
        <f t="shared" si="71"/>
        <v>144078.54375180494</v>
      </c>
      <c r="K140" s="192">
        <f t="shared" si="71"/>
        <v>149841.68550187713</v>
      </c>
      <c r="N140" s="64"/>
    </row>
    <row r="141" spans="2:14" ht="15" customHeight="1">
      <c r="B141" s="15"/>
      <c r="D141" s="192"/>
      <c r="E141" s="192"/>
      <c r="F141" s="192"/>
      <c r="G141" s="192"/>
      <c r="H141" s="192"/>
      <c r="I141" s="192"/>
      <c r="J141" s="192"/>
      <c r="K141" s="192"/>
      <c r="M141" s="13"/>
      <c r="N141" s="64"/>
    </row>
    <row r="142" spans="2:14" ht="15" customHeight="1">
      <c r="B142" s="73" t="s">
        <v>43</v>
      </c>
      <c r="C142" s="73"/>
      <c r="D142" s="190"/>
      <c r="E142" s="190"/>
      <c r="F142" s="190"/>
      <c r="G142" s="193"/>
      <c r="H142" s="193"/>
      <c r="I142" s="193"/>
      <c r="J142" s="193"/>
      <c r="K142" s="193"/>
      <c r="M142" s="13"/>
      <c r="N142" s="64"/>
    </row>
    <row r="143" spans="2:14" ht="15" customHeight="1">
      <c r="B143" s="15" t="s">
        <v>42</v>
      </c>
      <c r="C143" s="15"/>
      <c r="D143" s="194">
        <v>2606</v>
      </c>
      <c r="E143" s="192">
        <f>D138-E138</f>
        <v>-14368</v>
      </c>
      <c r="F143" s="192">
        <f t="shared" ref="F143:K143" si="72">E138-F138</f>
        <v>-3391</v>
      </c>
      <c r="G143" s="192">
        <f>F138-G138</f>
        <v>743.38787275279174</v>
      </c>
      <c r="H143" s="192">
        <f t="shared" si="72"/>
        <v>-5016.2644850898796</v>
      </c>
      <c r="I143" s="192">
        <f t="shared" si="72"/>
        <v>-5216.9150644934998</v>
      </c>
      <c r="J143" s="192">
        <f t="shared" si="72"/>
        <v>-5425.5916670732258</v>
      </c>
      <c r="K143" s="192">
        <f t="shared" si="72"/>
        <v>-5642.6153337561409</v>
      </c>
      <c r="M143" s="13"/>
      <c r="N143" s="64"/>
    </row>
    <row r="144" spans="2:14" ht="15" customHeight="1">
      <c r="B144" s="15" t="s">
        <v>41</v>
      </c>
      <c r="C144" s="15"/>
      <c r="D144" s="194">
        <v>-2224</v>
      </c>
      <c r="E144" s="192">
        <f>D139-E139</f>
        <v>241</v>
      </c>
      <c r="F144" s="192">
        <f t="shared" ref="F144:K144" si="73">E139-F139</f>
        <v>1860</v>
      </c>
      <c r="G144" s="192">
        <f t="shared" si="73"/>
        <v>-1945.9720209086699</v>
      </c>
      <c r="H144" s="192">
        <f t="shared" si="73"/>
        <v>-489.15888083634491</v>
      </c>
      <c r="I144" s="192">
        <f t="shared" si="73"/>
        <v>-508.7252360698003</v>
      </c>
      <c r="J144" s="192">
        <f t="shared" si="73"/>
        <v>-529.07424551259464</v>
      </c>
      <c r="K144" s="192">
        <f t="shared" si="73"/>
        <v>-550.23721533309617</v>
      </c>
      <c r="M144" s="13"/>
      <c r="N144" s="64"/>
    </row>
    <row r="145" spans="1:14" ht="15" customHeight="1">
      <c r="B145" s="15" t="s">
        <v>40</v>
      </c>
      <c r="C145" s="15"/>
      <c r="D145" s="195">
        <v>34057</v>
      </c>
      <c r="E145" s="192">
        <f>E140-D140</f>
        <v>9767</v>
      </c>
      <c r="F145" s="192">
        <f t="shared" ref="F145:K145" si="74">F140-E140</f>
        <v>-4783</v>
      </c>
      <c r="G145" s="192">
        <f t="shared" si="74"/>
        <v>6466.300757962701</v>
      </c>
      <c r="H145" s="192">
        <f t="shared" si="74"/>
        <v>5123.4120303184754</v>
      </c>
      <c r="I145" s="192">
        <f t="shared" si="74"/>
        <v>5328.3485115312506</v>
      </c>
      <c r="J145" s="192">
        <f t="shared" si="74"/>
        <v>5541.4824519925169</v>
      </c>
      <c r="K145" s="192">
        <f t="shared" si="74"/>
        <v>5763.1417500721873</v>
      </c>
      <c r="M145" s="13"/>
      <c r="N145" s="3"/>
    </row>
    <row r="146" spans="1:14" ht="15" customHeight="1" thickBot="1">
      <c r="B146" s="15" t="s">
        <v>38</v>
      </c>
      <c r="C146" s="15"/>
      <c r="D146" s="196">
        <f>SUM(D143:D145)</f>
        <v>34439</v>
      </c>
      <c r="E146" s="196">
        <f>SUM(E143:E145)</f>
        <v>-4360</v>
      </c>
      <c r="F146" s="196">
        <f t="shared" ref="F146:K146" si="75">SUM(F143:F145)</f>
        <v>-6314</v>
      </c>
      <c r="G146" s="196">
        <f t="shared" si="75"/>
        <v>5263.7166098068228</v>
      </c>
      <c r="H146" s="196">
        <f t="shared" si="75"/>
        <v>-382.01133560774906</v>
      </c>
      <c r="I146" s="196">
        <f t="shared" si="75"/>
        <v>-397.29178903204956</v>
      </c>
      <c r="J146" s="196">
        <f t="shared" si="75"/>
        <v>-413.18346059330361</v>
      </c>
      <c r="K146" s="196">
        <f t="shared" si="75"/>
        <v>-429.71079901704979</v>
      </c>
      <c r="M146" s="13"/>
    </row>
    <row r="147" spans="1:14" ht="15" customHeight="1">
      <c r="B147" s="15"/>
      <c r="C147" s="15"/>
      <c r="D147" s="65"/>
      <c r="E147" s="65"/>
      <c r="F147" s="65"/>
      <c r="G147" s="65"/>
      <c r="H147" s="65"/>
      <c r="I147" s="65"/>
      <c r="J147" s="65"/>
      <c r="K147" s="65"/>
    </row>
    <row r="148" spans="1:14" ht="15" customHeight="1">
      <c r="B148" s="51"/>
      <c r="C148" s="51"/>
      <c r="D148" s="50"/>
      <c r="E148" s="50"/>
      <c r="F148" s="50"/>
      <c r="G148" s="50"/>
      <c r="H148" s="50"/>
      <c r="I148" s="50"/>
      <c r="J148" s="50"/>
      <c r="K148" s="50"/>
    </row>
    <row r="149" spans="1:14" ht="15" customHeight="1">
      <c r="D149" s="22"/>
      <c r="E149" s="22"/>
      <c r="F149" s="22"/>
      <c r="G149" s="22"/>
      <c r="H149" s="22"/>
      <c r="I149" s="22"/>
      <c r="J149" s="22"/>
      <c r="K149" s="22"/>
      <c r="M149" s="12"/>
    </row>
    <row r="150" spans="1:14" ht="15" customHeight="1">
      <c r="A150" s="8" t="s">
        <v>0</v>
      </c>
      <c r="B150" s="214" t="s">
        <v>30</v>
      </c>
      <c r="C150" s="214"/>
      <c r="D150" s="214"/>
      <c r="E150" s="214"/>
      <c r="F150" s="214"/>
      <c r="G150" s="214"/>
      <c r="H150" s="214"/>
      <c r="I150" s="214"/>
      <c r="J150" s="214"/>
      <c r="K150" s="214"/>
      <c r="M150" s="12"/>
    </row>
    <row r="151" spans="1:14" ht="15" customHeight="1">
      <c r="B151" s="28"/>
      <c r="C151" s="28"/>
      <c r="D151" s="27"/>
      <c r="E151" s="27"/>
      <c r="F151" s="27"/>
      <c r="G151" s="27"/>
      <c r="H151" s="27"/>
      <c r="I151" s="27"/>
      <c r="J151" s="27"/>
      <c r="K151" s="27"/>
    </row>
    <row r="152" spans="1:14" ht="15" customHeight="1" thickBot="1">
      <c r="B152" s="24" t="s">
        <v>130</v>
      </c>
      <c r="C152" s="24"/>
      <c r="D152" s="26">
        <f t="shared" ref="D150:K152" si="76">+D$5</f>
        <v>2022</v>
      </c>
      <c r="E152" s="26">
        <f t="shared" si="76"/>
        <v>2023</v>
      </c>
      <c r="F152" s="26">
        <f t="shared" si="76"/>
        <v>2024</v>
      </c>
      <c r="G152" s="25">
        <f t="shared" si="76"/>
        <v>2025</v>
      </c>
      <c r="H152" s="25">
        <f t="shared" si="76"/>
        <v>2026</v>
      </c>
      <c r="I152" s="25">
        <f t="shared" si="76"/>
        <v>2027</v>
      </c>
      <c r="J152" s="25">
        <f t="shared" si="76"/>
        <v>2028</v>
      </c>
      <c r="K152" s="25">
        <f t="shared" si="76"/>
        <v>2029</v>
      </c>
    </row>
    <row r="153" spans="1:14" ht="15" customHeight="1">
      <c r="B153" s="24"/>
      <c r="C153" s="24"/>
      <c r="D153" s="23"/>
      <c r="E153" s="23"/>
      <c r="F153" s="23"/>
      <c r="G153" s="23"/>
      <c r="H153" s="23"/>
      <c r="I153" s="23"/>
      <c r="J153" s="23"/>
      <c r="K153" s="23"/>
      <c r="N153" s="52"/>
    </row>
    <row r="154" spans="1:14" ht="15" customHeight="1">
      <c r="B154" s="17" t="s">
        <v>27</v>
      </c>
      <c r="C154" s="17"/>
      <c r="D154" s="173"/>
      <c r="E154" s="173"/>
      <c r="F154" s="173"/>
      <c r="G154" s="173"/>
      <c r="H154" s="173"/>
      <c r="I154" s="173"/>
      <c r="J154" s="173"/>
      <c r="K154" s="173"/>
      <c r="L154" s="155"/>
    </row>
    <row r="155" spans="1:14" ht="15" customHeight="1">
      <c r="B155" s="17" t="s">
        <v>29</v>
      </c>
      <c r="C155" s="17"/>
      <c r="D155" s="164"/>
      <c r="E155" s="164"/>
      <c r="F155" s="164"/>
      <c r="G155" s="164"/>
      <c r="H155" s="164"/>
      <c r="I155" s="164"/>
      <c r="J155" s="164"/>
      <c r="K155" s="164"/>
      <c r="L155" s="155"/>
      <c r="M155" s="13"/>
    </row>
    <row r="156" spans="1:14" s="12" customFormat="1" ht="15" customHeight="1">
      <c r="B156" s="15" t="s">
        <v>19</v>
      </c>
      <c r="C156" s="8"/>
      <c r="D156" s="166">
        <f>D158-D157</f>
        <v>-61557</v>
      </c>
      <c r="E156" s="166">
        <f>D158</f>
        <v>27696</v>
      </c>
      <c r="F156" s="166">
        <f t="shared" ref="F156:K156" si="77">E158</f>
        <v>630</v>
      </c>
      <c r="G156" s="166">
        <f>F158</f>
        <v>71244</v>
      </c>
      <c r="H156" s="166">
        <f t="shared" si="77"/>
        <v>33190</v>
      </c>
      <c r="I156" s="166">
        <f t="shared" si="77"/>
        <v>33190</v>
      </c>
      <c r="J156" s="166">
        <f t="shared" si="77"/>
        <v>33190</v>
      </c>
      <c r="K156" s="166">
        <f t="shared" si="77"/>
        <v>33190</v>
      </c>
      <c r="L156" s="155"/>
      <c r="M156" s="13"/>
    </row>
    <row r="157" spans="1:14" s="12" customFormat="1" ht="15" customHeight="1">
      <c r="B157" s="15" t="s">
        <v>22</v>
      </c>
      <c r="C157" s="8"/>
      <c r="D157" s="174">
        <f>D113</f>
        <v>89253</v>
      </c>
      <c r="E157" s="174">
        <f>E158-E156</f>
        <v>-27066</v>
      </c>
      <c r="F157" s="174">
        <f t="shared" ref="F157:K157" si="78">F158-F156</f>
        <v>70614</v>
      </c>
      <c r="G157" s="174">
        <f t="shared" si="78"/>
        <v>-38054</v>
      </c>
      <c r="H157" s="174">
        <f t="shared" si="78"/>
        <v>0</v>
      </c>
      <c r="I157" s="174">
        <f t="shared" si="78"/>
        <v>0</v>
      </c>
      <c r="J157" s="174">
        <f t="shared" si="78"/>
        <v>0</v>
      </c>
      <c r="K157" s="174">
        <f t="shared" si="78"/>
        <v>0</v>
      </c>
      <c r="L157" s="155"/>
      <c r="M157" s="13"/>
    </row>
    <row r="158" spans="1:14" ht="15" customHeight="1">
      <c r="B158" s="34" t="s">
        <v>28</v>
      </c>
      <c r="C158" s="17"/>
      <c r="D158" s="167">
        <f>D22</f>
        <v>27696</v>
      </c>
      <c r="E158" s="167">
        <f>E22</f>
        <v>630</v>
      </c>
      <c r="F158" s="167">
        <f>F22</f>
        <v>71244</v>
      </c>
      <c r="G158" s="167">
        <f>G22</f>
        <v>33190</v>
      </c>
      <c r="H158" s="167">
        <f>H22</f>
        <v>33190</v>
      </c>
      <c r="I158" s="167">
        <f>I22</f>
        <v>33190</v>
      </c>
      <c r="J158" s="167">
        <f>J22</f>
        <v>33190</v>
      </c>
      <c r="K158" s="167">
        <f>K22</f>
        <v>33190</v>
      </c>
      <c r="L158" s="155"/>
    </row>
    <row r="159" spans="1:14" ht="15" customHeight="1">
      <c r="B159" s="8" t="s">
        <v>27</v>
      </c>
      <c r="D159" s="164"/>
      <c r="E159" s="164"/>
      <c r="F159" s="164"/>
      <c r="G159" s="164"/>
      <c r="H159" s="164"/>
      <c r="I159" s="164"/>
      <c r="J159" s="164"/>
      <c r="K159" s="164"/>
      <c r="L159" s="155"/>
      <c r="M159" s="13"/>
    </row>
    <row r="160" spans="1:14" ht="15" customHeight="1">
      <c r="B160" s="15" t="s">
        <v>26</v>
      </c>
      <c r="C160" s="17"/>
      <c r="D160" s="197">
        <f>D14</f>
        <v>0.45410889659156556</v>
      </c>
      <c r="E160" s="198">
        <f>E14</f>
        <v>5.1683965261597117E-2</v>
      </c>
      <c r="F160" s="198">
        <f>F14</f>
        <v>0.28349611820686199</v>
      </c>
      <c r="G160" s="198">
        <f>G14</f>
        <v>0.26309632668667488</v>
      </c>
      <c r="H160" s="198">
        <f>H14</f>
        <v>0.26309632668667488</v>
      </c>
      <c r="I160" s="198">
        <f>I14</f>
        <v>0.26309632668667488</v>
      </c>
      <c r="J160" s="198">
        <f>J14</f>
        <v>0.26309632668667488</v>
      </c>
      <c r="K160" s="199">
        <f>K14</f>
        <v>0.26309632668667488</v>
      </c>
      <c r="L160" s="155"/>
    </row>
    <row r="161" spans="2:13" ht="15" customHeight="1">
      <c r="B161" s="15"/>
      <c r="C161" s="17"/>
      <c r="D161" s="200"/>
      <c r="E161" s="200"/>
      <c r="F161" s="200"/>
      <c r="G161" s="200"/>
      <c r="H161" s="200"/>
      <c r="I161" s="200"/>
      <c r="J161" s="200"/>
      <c r="K161" s="200"/>
      <c r="L161" s="155"/>
      <c r="M161" s="13"/>
    </row>
    <row r="162" spans="2:13" ht="15" customHeight="1">
      <c r="B162" s="15" t="s">
        <v>25</v>
      </c>
      <c r="D162" s="158">
        <f>D40</f>
        <v>12577</v>
      </c>
      <c r="E162" s="158">
        <f>E40</f>
        <v>-732</v>
      </c>
      <c r="F162" s="158">
        <f>F40</f>
        <v>-10188</v>
      </c>
      <c r="G162" s="158">
        <f>G160*AVERAGE(G158,G156)*-1</f>
        <v>-13738.100890598102</v>
      </c>
      <c r="H162" s="158">
        <f t="shared" ref="H162:K162" si="79">H160*AVERAGE(H158,H156)*-1</f>
        <v>-8732.1670827307389</v>
      </c>
      <c r="I162" s="158">
        <f t="shared" si="79"/>
        <v>-8732.1670827307389</v>
      </c>
      <c r="J162" s="158">
        <f t="shared" si="79"/>
        <v>-8732.1670827307389</v>
      </c>
      <c r="K162" s="158">
        <f t="shared" si="79"/>
        <v>-8732.1670827307389</v>
      </c>
      <c r="L162" s="155"/>
      <c r="M162" s="13"/>
    </row>
    <row r="163" spans="2:13" ht="15" customHeight="1">
      <c r="B163" s="34" t="s">
        <v>24</v>
      </c>
      <c r="C163" s="17"/>
      <c r="D163" s="167">
        <f>SUM(D162)</f>
        <v>12577</v>
      </c>
      <c r="E163" s="167">
        <f t="shared" ref="E163:K163" si="80">SUM(E162)</f>
        <v>-732</v>
      </c>
      <c r="F163" s="167">
        <f t="shared" si="80"/>
        <v>-10188</v>
      </c>
      <c r="G163" s="167">
        <f t="shared" si="80"/>
        <v>-13738.100890598102</v>
      </c>
      <c r="H163" s="167">
        <f t="shared" si="80"/>
        <v>-8732.1670827307389</v>
      </c>
      <c r="I163" s="167">
        <f t="shared" si="80"/>
        <v>-8732.1670827307389</v>
      </c>
      <c r="J163" s="167">
        <f t="shared" si="80"/>
        <v>-8732.1670827307389</v>
      </c>
      <c r="K163" s="167">
        <f t="shared" si="80"/>
        <v>-8732.1670827307389</v>
      </c>
      <c r="L163" s="155"/>
    </row>
    <row r="164" spans="2:13" ht="15" customHeight="1">
      <c r="D164" s="164"/>
      <c r="E164" s="164"/>
      <c r="F164" s="164"/>
      <c r="G164" s="164"/>
      <c r="H164" s="164"/>
      <c r="I164" s="164"/>
      <c r="J164" s="164"/>
      <c r="K164" s="164"/>
      <c r="L164" s="155"/>
    </row>
    <row r="165" spans="2:13" ht="15" customHeight="1">
      <c r="B165" s="17" t="s">
        <v>23</v>
      </c>
      <c r="D165" s="164"/>
      <c r="E165" s="164"/>
      <c r="F165" s="164"/>
      <c r="G165" s="164"/>
      <c r="H165" s="164"/>
      <c r="I165" s="164"/>
      <c r="J165" s="164"/>
      <c r="K165" s="164"/>
      <c r="L165" s="155"/>
      <c r="M165" s="13"/>
    </row>
    <row r="166" spans="2:13" ht="15" customHeight="1">
      <c r="B166" s="15" t="s">
        <v>19</v>
      </c>
      <c r="D166" s="201">
        <f>D168-D167</f>
        <v>250000</v>
      </c>
      <c r="E166" s="201">
        <f>D168</f>
        <v>250000</v>
      </c>
      <c r="F166" s="201">
        <f t="shared" ref="F166:K166" si="81">E168</f>
        <v>250000</v>
      </c>
      <c r="G166" s="201">
        <f t="shared" si="81"/>
        <v>250000</v>
      </c>
      <c r="H166" s="201">
        <f t="shared" si="81"/>
        <v>250000</v>
      </c>
      <c r="I166" s="201">
        <f t="shared" si="81"/>
        <v>250000</v>
      </c>
      <c r="J166" s="201">
        <f t="shared" si="81"/>
        <v>250000</v>
      </c>
      <c r="K166" s="201">
        <f t="shared" si="81"/>
        <v>250000</v>
      </c>
      <c r="L166" s="155"/>
      <c r="M166" s="13"/>
    </row>
    <row r="167" spans="2:13" ht="15" customHeight="1">
      <c r="B167" s="15" t="s">
        <v>22</v>
      </c>
      <c r="D167" s="164">
        <f>D111</f>
        <v>0</v>
      </c>
      <c r="E167" s="201">
        <f>E168-E166</f>
        <v>0</v>
      </c>
      <c r="F167" s="201">
        <f t="shared" ref="F167:K167" si="82">F168-F166</f>
        <v>0</v>
      </c>
      <c r="G167" s="201">
        <f t="shared" si="82"/>
        <v>0</v>
      </c>
      <c r="H167" s="201">
        <f t="shared" si="82"/>
        <v>0</v>
      </c>
      <c r="I167" s="201">
        <f t="shared" si="82"/>
        <v>0</v>
      </c>
      <c r="J167" s="201">
        <f t="shared" si="82"/>
        <v>0</v>
      </c>
      <c r="K167" s="201">
        <f t="shared" si="82"/>
        <v>0</v>
      </c>
      <c r="L167" s="155"/>
      <c r="M167" s="13"/>
    </row>
    <row r="168" spans="2:13" ht="15" customHeight="1">
      <c r="B168" s="34" t="s">
        <v>21</v>
      </c>
      <c r="D168" s="202">
        <f>D23</f>
        <v>250000</v>
      </c>
      <c r="E168" s="202">
        <f>E23</f>
        <v>250000</v>
      </c>
      <c r="F168" s="202">
        <f>F23</f>
        <v>250000</v>
      </c>
      <c r="G168" s="202">
        <f>G23</f>
        <v>250000</v>
      </c>
      <c r="H168" s="202">
        <f>H23</f>
        <v>250000</v>
      </c>
      <c r="I168" s="202">
        <f>I23</f>
        <v>250000</v>
      </c>
      <c r="J168" s="202">
        <f>J23</f>
        <v>250000</v>
      </c>
      <c r="K168" s="202">
        <f>K23</f>
        <v>250000</v>
      </c>
      <c r="L168" s="155"/>
    </row>
    <row r="169" spans="2:13" ht="15" customHeight="1">
      <c r="D169" s="164"/>
      <c r="E169" s="164"/>
      <c r="F169" s="164"/>
      <c r="G169" s="164"/>
      <c r="H169" s="164"/>
      <c r="I169" s="164"/>
      <c r="J169" s="164"/>
      <c r="K169" s="164"/>
      <c r="L169" s="155"/>
      <c r="M169" s="13"/>
    </row>
    <row r="170" spans="2:13" ht="15" customHeight="1">
      <c r="B170" s="15" t="s">
        <v>11</v>
      </c>
      <c r="D170" s="203">
        <f>D44</f>
        <v>44032</v>
      </c>
      <c r="E170" s="204">
        <f>E44</f>
        <v>45749</v>
      </c>
      <c r="F170" s="204">
        <f>F44</f>
        <v>41459</v>
      </c>
      <c r="G170" s="204">
        <f>G44</f>
        <v>35553.340825905172</v>
      </c>
      <c r="H170" s="204">
        <f>H44</f>
        <v>40919.849527820188</v>
      </c>
      <c r="I170" s="204">
        <f>I44</f>
        <v>42804.637054082552</v>
      </c>
      <c r="J170" s="204">
        <f>J44</f>
        <v>44764.816081395402</v>
      </c>
      <c r="K170" s="205">
        <f>K44</f>
        <v>46803.402269800761</v>
      </c>
      <c r="L170" s="155"/>
      <c r="M170" s="13"/>
    </row>
    <row r="171" spans="2:13" ht="15" customHeight="1">
      <c r="B171" s="15" t="s">
        <v>18</v>
      </c>
      <c r="D171" s="206">
        <f>D46</f>
        <v>27000</v>
      </c>
      <c r="E171" s="207">
        <f>E46</f>
        <v>39375</v>
      </c>
      <c r="F171" s="207">
        <f>F46</f>
        <v>41250</v>
      </c>
      <c r="G171" s="207">
        <f>G46</f>
        <v>29258.311715976695</v>
      </c>
      <c r="H171" s="207">
        <f>H46</f>
        <v>33674.633242439981</v>
      </c>
      <c r="I171" s="207">
        <f>I46</f>
        <v>35225.702696975968</v>
      </c>
      <c r="J171" s="207">
        <f>J46</f>
        <v>36838.814929693392</v>
      </c>
      <c r="K171" s="208">
        <f>K46</f>
        <v>38516.451651719508</v>
      </c>
      <c r="L171" s="155"/>
    </row>
    <row r="172" spans="2:13" ht="15" customHeight="1">
      <c r="D172" s="164"/>
      <c r="E172" s="164"/>
      <c r="F172" s="164"/>
      <c r="G172" s="164"/>
      <c r="H172" s="164"/>
      <c r="I172" s="164"/>
      <c r="J172" s="164"/>
      <c r="K172" s="164"/>
      <c r="L172" s="155"/>
    </row>
    <row r="173" spans="2:13" ht="15" customHeight="1">
      <c r="B173" s="17" t="s">
        <v>20</v>
      </c>
      <c r="C173" s="17"/>
      <c r="D173" s="164"/>
      <c r="E173" s="164"/>
      <c r="F173" s="164"/>
      <c r="G173" s="164"/>
      <c r="H173" s="164"/>
      <c r="I173" s="164"/>
      <c r="J173" s="164"/>
      <c r="K173" s="164"/>
      <c r="L173" s="155"/>
      <c r="M173" s="13"/>
    </row>
    <row r="174" spans="2:13" ht="15" customHeight="1">
      <c r="B174" s="15" t="s">
        <v>19</v>
      </c>
      <c r="D174" s="158">
        <f>D177-D176-D175</f>
        <v>31358</v>
      </c>
      <c r="E174" s="158">
        <f>D177</f>
        <v>48390</v>
      </c>
      <c r="F174" s="158">
        <f t="shared" ref="F174:K174" si="83">E177</f>
        <v>54764</v>
      </c>
      <c r="G174" s="158">
        <f t="shared" si="83"/>
        <v>54973</v>
      </c>
      <c r="H174" s="158">
        <f t="shared" si="83"/>
        <v>61268.02910992848</v>
      </c>
      <c r="I174" s="158">
        <f t="shared" si="83"/>
        <v>68513.245395308681</v>
      </c>
      <c r="J174" s="158">
        <f t="shared" si="83"/>
        <v>76092.179752415279</v>
      </c>
      <c r="K174" s="158">
        <f t="shared" si="83"/>
        <v>84018.180904117296</v>
      </c>
      <c r="L174" s="155"/>
      <c r="M174" s="13"/>
    </row>
    <row r="175" spans="2:13" ht="15" customHeight="1">
      <c r="B175" s="15" t="s">
        <v>11</v>
      </c>
      <c r="D175" s="158">
        <f>D170</f>
        <v>44032</v>
      </c>
      <c r="E175" s="158">
        <f t="shared" ref="E175:K175" si="84">E170</f>
        <v>45749</v>
      </c>
      <c r="F175" s="158">
        <f t="shared" si="84"/>
        <v>41459</v>
      </c>
      <c r="G175" s="158">
        <f t="shared" si="84"/>
        <v>35553.340825905172</v>
      </c>
      <c r="H175" s="158">
        <f t="shared" si="84"/>
        <v>40919.849527820188</v>
      </c>
      <c r="I175" s="158">
        <f t="shared" si="84"/>
        <v>42804.637054082552</v>
      </c>
      <c r="J175" s="158">
        <f t="shared" si="84"/>
        <v>44764.816081395402</v>
      </c>
      <c r="K175" s="158">
        <f t="shared" si="84"/>
        <v>46803.402269800761</v>
      </c>
      <c r="L175" s="155"/>
      <c r="M175" s="13"/>
    </row>
    <row r="176" spans="2:13" ht="15" customHeight="1">
      <c r="B176" s="15" t="s">
        <v>18</v>
      </c>
      <c r="D176" s="158">
        <f>-D171</f>
        <v>-27000</v>
      </c>
      <c r="E176" s="158">
        <f t="shared" ref="E176:K176" si="85">-E171</f>
        <v>-39375</v>
      </c>
      <c r="F176" s="158">
        <f t="shared" si="85"/>
        <v>-41250</v>
      </c>
      <c r="G176" s="158">
        <f t="shared" si="85"/>
        <v>-29258.311715976695</v>
      </c>
      <c r="H176" s="158">
        <f t="shared" si="85"/>
        <v>-33674.633242439981</v>
      </c>
      <c r="I176" s="158">
        <f t="shared" si="85"/>
        <v>-35225.702696975968</v>
      </c>
      <c r="J176" s="158">
        <f t="shared" si="85"/>
        <v>-36838.814929693392</v>
      </c>
      <c r="K176" s="158">
        <f t="shared" si="85"/>
        <v>-38516.451651719508</v>
      </c>
      <c r="L176" s="155"/>
      <c r="M176" s="13"/>
    </row>
    <row r="177" spans="2:14" ht="15" customHeight="1">
      <c r="B177" s="34" t="s">
        <v>17</v>
      </c>
      <c r="C177" s="17"/>
      <c r="D177" s="209">
        <f>D79</f>
        <v>48390</v>
      </c>
      <c r="E177" s="167">
        <f>SUM(E174:E176)</f>
        <v>54764</v>
      </c>
      <c r="F177" s="167">
        <f t="shared" ref="F177:K177" si="86">SUM(F174:F176)</f>
        <v>54973</v>
      </c>
      <c r="G177" s="167">
        <f t="shared" si="86"/>
        <v>61268.02910992848</v>
      </c>
      <c r="H177" s="167">
        <f t="shared" si="86"/>
        <v>68513.245395308681</v>
      </c>
      <c r="I177" s="167">
        <f t="shared" si="86"/>
        <v>76092.179752415279</v>
      </c>
      <c r="J177" s="167">
        <f t="shared" si="86"/>
        <v>84018.180904117296</v>
      </c>
      <c r="K177" s="167">
        <f t="shared" si="86"/>
        <v>92305.131522198557</v>
      </c>
      <c r="L177" s="155"/>
    </row>
    <row r="178" spans="2:14" ht="15" customHeight="1">
      <c r="B178" s="17"/>
      <c r="C178" s="17"/>
      <c r="D178" s="168"/>
      <c r="E178" s="168"/>
      <c r="F178" s="168"/>
      <c r="G178" s="168"/>
      <c r="H178" s="168"/>
      <c r="I178" s="168"/>
      <c r="J178" s="168"/>
      <c r="K178" s="168"/>
      <c r="L178" s="155"/>
    </row>
    <row r="179" spans="2:14" ht="15" customHeight="1">
      <c r="B179" s="9"/>
      <c r="C179" s="9"/>
      <c r="D179" s="30"/>
      <c r="E179" s="30"/>
      <c r="F179" s="30"/>
      <c r="G179" s="30"/>
      <c r="H179" s="30"/>
      <c r="I179" s="30"/>
      <c r="J179" s="30"/>
      <c r="K179" s="30"/>
    </row>
    <row r="180" spans="2:14" ht="15" customHeight="1">
      <c r="D180" s="22"/>
      <c r="E180" s="22"/>
      <c r="F180" s="22"/>
      <c r="G180" s="22"/>
      <c r="H180" s="22"/>
      <c r="I180" s="22"/>
      <c r="J180" s="22"/>
      <c r="K180" s="22"/>
      <c r="M180" s="12"/>
    </row>
    <row r="187" spans="2:14" s="12" customFormat="1" ht="15" customHeight="1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2:14" s="12" customFormat="1" ht="15" customHeight="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206" spans="1:1" ht="15" customHeight="1">
      <c r="A206" s="12"/>
    </row>
  </sheetData>
  <conditionalFormatting sqref="D84:K84">
    <cfRule type="expression" dxfId="2" priority="7">
      <formula>D$84&lt;&gt;0</formula>
    </cfRule>
  </conditionalFormatting>
  <printOptions horizontalCentered="1"/>
  <pageMargins left="0.11799999999999999" right="0.11799999999999999" top="0.11799999999999999" bottom="0.11799999999999999" header="0.11799999999999999" footer="0.11799999999999999"/>
  <pageSetup scale="86" orientation="landscape" r:id="rId1"/>
  <headerFooter>
    <oddFooter>&amp;L&amp;"Open Sans,Bold"&amp;K002060Introduction to 3-Statement Modeling&amp;C&amp;"Open Sans,Bold"&amp;K002060Page &amp;P of &amp;N&amp;R&amp;"Open Sans,Bold"&amp;K002060&amp;G</oddFooter>
  </headerFooter>
  <ignoredErrors>
    <ignoredError sqref="D14:F14 G114" formulaRange="1"/>
  </ignoredError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99DF-E681-406B-92F0-8DBC8EDA1CDA}">
  <dimension ref="A1:AC35"/>
  <sheetViews>
    <sheetView showGridLines="0" zoomScale="85" zoomScaleNormal="100" workbookViewId="0"/>
  </sheetViews>
  <sheetFormatPr defaultRowHeight="15"/>
  <cols>
    <col min="2" max="2" width="9.140625" customWidth="1"/>
    <col min="3" max="3" width="32.5703125" customWidth="1"/>
    <col min="17" max="17" width="25.85546875" customWidth="1"/>
    <col min="19" max="19" width="10.42578125" customWidth="1"/>
    <col min="20" max="20" width="11.42578125" customWidth="1"/>
    <col min="21" max="21" width="10.5703125" customWidth="1"/>
    <col min="22" max="22" width="11.140625" customWidth="1"/>
    <col min="23" max="23" width="10.7109375" customWidth="1"/>
    <col min="24" max="24" width="11.28515625" customWidth="1"/>
    <col min="25" max="26" width="10.7109375" customWidth="1"/>
  </cols>
  <sheetData>
    <row r="1" spans="1:26" ht="57.75" customHeight="1">
      <c r="B1" s="213"/>
      <c r="C1" s="212" t="s">
        <v>131</v>
      </c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</row>
    <row r="3" spans="1:26" ht="21">
      <c r="A3" t="s">
        <v>0</v>
      </c>
      <c r="B3" s="214" t="s">
        <v>4</v>
      </c>
      <c r="C3" s="214"/>
      <c r="D3" s="214"/>
      <c r="E3" s="214"/>
      <c r="F3" s="214"/>
      <c r="H3" s="214" t="s">
        <v>3</v>
      </c>
      <c r="I3" s="214"/>
      <c r="J3" s="214"/>
      <c r="K3" s="214"/>
      <c r="L3" s="214"/>
      <c r="M3" s="214"/>
      <c r="N3" s="214"/>
      <c r="Q3" s="214" t="s">
        <v>134</v>
      </c>
      <c r="R3" s="214"/>
      <c r="S3" s="214"/>
      <c r="T3" s="214"/>
      <c r="U3" s="214"/>
      <c r="V3" s="214"/>
      <c r="W3" s="214"/>
      <c r="X3" s="214"/>
      <c r="Y3" s="214"/>
      <c r="Z3" s="214"/>
    </row>
    <row r="4" spans="1:26" ht="21">
      <c r="B4" s="8"/>
      <c r="C4" s="8"/>
      <c r="D4" s="8"/>
      <c r="E4" s="8"/>
      <c r="H4" s="8"/>
      <c r="I4" s="8"/>
      <c r="J4" s="8"/>
      <c r="K4" s="8"/>
      <c r="L4" s="8"/>
      <c r="Q4" s="28"/>
      <c r="R4" s="28"/>
      <c r="S4" s="27"/>
      <c r="T4" s="27"/>
      <c r="U4" s="27"/>
      <c r="V4" s="27"/>
      <c r="W4" s="27"/>
      <c r="X4" s="27"/>
      <c r="Y4" s="27"/>
      <c r="Z4" s="27"/>
    </row>
    <row r="5" spans="1:26" ht="16.5" thickBot="1">
      <c r="B5" s="8"/>
      <c r="C5" s="8"/>
      <c r="D5" s="8"/>
      <c r="E5" s="8"/>
      <c r="H5" s="8"/>
      <c r="I5" s="8"/>
      <c r="J5" s="8"/>
      <c r="K5" s="8"/>
      <c r="L5" s="8"/>
      <c r="Q5" s="24" t="s">
        <v>130</v>
      </c>
      <c r="R5" s="24"/>
      <c r="S5" s="26">
        <v>2022</v>
      </c>
      <c r="T5" s="26">
        <v>2023</v>
      </c>
      <c r="U5" s="26">
        <v>2024</v>
      </c>
      <c r="V5" s="25">
        <v>2025</v>
      </c>
      <c r="W5" s="25">
        <v>2026</v>
      </c>
      <c r="X5" s="25">
        <v>2027</v>
      </c>
      <c r="Y5" s="25">
        <v>2028</v>
      </c>
      <c r="Z5" s="25">
        <v>2029</v>
      </c>
    </row>
    <row r="6" spans="1:26" ht="15.75">
      <c r="B6" s="8"/>
      <c r="C6" s="8"/>
      <c r="D6" s="8"/>
      <c r="E6" s="8"/>
      <c r="H6" s="8"/>
      <c r="I6" s="8"/>
      <c r="J6" s="8"/>
      <c r="K6" s="8"/>
      <c r="L6" s="8"/>
      <c r="Q6" s="24"/>
      <c r="R6" s="24"/>
      <c r="S6" s="23"/>
      <c r="T6" s="23"/>
      <c r="U6" s="23"/>
      <c r="V6" s="23"/>
      <c r="W6" s="23"/>
      <c r="X6" s="23"/>
      <c r="Y6" s="23"/>
      <c r="Z6" s="23"/>
    </row>
    <row r="7" spans="1:26" ht="15.75">
      <c r="B7" s="8"/>
      <c r="C7" s="8"/>
      <c r="D7" s="8"/>
      <c r="E7" s="8"/>
      <c r="H7" s="8"/>
      <c r="I7" s="8"/>
      <c r="J7" s="8"/>
      <c r="K7" s="8"/>
      <c r="L7" s="8"/>
      <c r="Q7" s="17" t="s">
        <v>4</v>
      </c>
      <c r="R7" s="17"/>
      <c r="S7" s="22"/>
      <c r="T7" s="22"/>
      <c r="U7" s="22"/>
      <c r="V7" s="22"/>
      <c r="W7" s="22"/>
      <c r="X7" s="22"/>
      <c r="Y7" s="22"/>
      <c r="Z7" s="22"/>
    </row>
    <row r="8" spans="1:26" ht="15.75">
      <c r="B8" s="8"/>
      <c r="C8" s="8"/>
      <c r="D8" s="8"/>
      <c r="E8" s="8"/>
      <c r="H8" s="8"/>
      <c r="I8" s="8"/>
      <c r="J8" s="8"/>
      <c r="K8" s="8"/>
      <c r="L8" s="8"/>
      <c r="Q8" s="15" t="s">
        <v>14</v>
      </c>
      <c r="R8" s="8"/>
      <c r="S8" s="158">
        <f>Model!D32</f>
        <v>347568</v>
      </c>
      <c r="T8" s="158">
        <f>Model!E32</f>
        <v>360716</v>
      </c>
      <c r="U8" s="158">
        <f>Model!F32</f>
        <v>361252</v>
      </c>
      <c r="V8" s="158">
        <f>Model!G32</f>
        <v>375702.08</v>
      </c>
      <c r="W8" s="158">
        <f>Model!H32</f>
        <v>390730.16320000001</v>
      </c>
      <c r="X8" s="158">
        <f>Model!I32</f>
        <v>406359.36972800002</v>
      </c>
      <c r="Y8" s="158">
        <f>Model!J32</f>
        <v>422613.74451712001</v>
      </c>
      <c r="Z8" s="158">
        <f>Model!K32</f>
        <v>439518.29429780482</v>
      </c>
    </row>
    <row r="9" spans="1:26" ht="15.75">
      <c r="B9" s="8"/>
      <c r="C9" s="8"/>
      <c r="D9" s="8"/>
      <c r="E9" s="8"/>
      <c r="H9" s="8"/>
      <c r="I9" s="8"/>
      <c r="J9" s="8"/>
      <c r="K9" s="8"/>
      <c r="L9" s="8"/>
      <c r="Q9" s="15" t="s">
        <v>132</v>
      </c>
      <c r="R9" s="8"/>
      <c r="S9" s="158">
        <f>Model!D41</f>
        <v>62800</v>
      </c>
      <c r="T9" s="158">
        <f>Model!E41</f>
        <v>62734</v>
      </c>
      <c r="U9" s="158">
        <f>Model!F41</f>
        <v>58128</v>
      </c>
      <c r="V9" s="158">
        <f>Model!G41</f>
        <v>50075.127923810098</v>
      </c>
      <c r="W9" s="158">
        <f>Model!H41</f>
        <v>57633.59088425379</v>
      </c>
      <c r="X9" s="158">
        <f>Model!I41</f>
        <v>60288.221202933171</v>
      </c>
      <c r="Y9" s="158">
        <f>Model!J41</f>
        <v>63049.036734359717</v>
      </c>
      <c r="Z9" s="158">
        <f>Model!K41</f>
        <v>65920.284887043323</v>
      </c>
    </row>
    <row r="10" spans="1:26" ht="15.75">
      <c r="B10" s="8"/>
      <c r="C10" s="8"/>
      <c r="D10" s="8"/>
      <c r="E10" s="8"/>
      <c r="H10" s="8"/>
      <c r="I10" s="8"/>
      <c r="J10" s="8"/>
      <c r="K10" s="8"/>
      <c r="L10" s="8"/>
      <c r="Q10" s="20" t="s">
        <v>133</v>
      </c>
      <c r="R10" s="19"/>
      <c r="S10" s="215">
        <f>S9/S8</f>
        <v>0.18068406757814298</v>
      </c>
      <c r="T10" s="215">
        <f t="shared" ref="T10:Z10" si="0">T9/T8</f>
        <v>0.17391521307621507</v>
      </c>
      <c r="U10" s="215">
        <f t="shared" si="0"/>
        <v>0.16090706764253207</v>
      </c>
      <c r="V10" s="215">
        <f>V9/V8</f>
        <v>0.1332841381229779</v>
      </c>
      <c r="W10" s="215">
        <f t="shared" si="0"/>
        <v>0.14750228242490029</v>
      </c>
      <c r="X10" s="215">
        <f t="shared" si="0"/>
        <v>0.14836183362349337</v>
      </c>
      <c r="Y10" s="215">
        <f t="shared" si="0"/>
        <v>0.1491883251606021</v>
      </c>
      <c r="Z10" s="215">
        <f t="shared" si="0"/>
        <v>0.14998302856166815</v>
      </c>
    </row>
    <row r="11" spans="1:26" ht="15.75">
      <c r="B11" s="8"/>
      <c r="C11" s="8"/>
      <c r="D11" s="8"/>
      <c r="E11" s="8"/>
      <c r="H11" s="8"/>
      <c r="I11" s="8"/>
      <c r="J11" s="8"/>
      <c r="K11" s="8"/>
      <c r="L11" s="8"/>
      <c r="Q11" s="20"/>
      <c r="R11" s="19"/>
      <c r="S11" s="216"/>
      <c r="T11" s="216"/>
      <c r="U11" s="216"/>
      <c r="V11" s="216"/>
      <c r="W11" s="216"/>
      <c r="X11" s="216"/>
      <c r="Y11" s="216"/>
      <c r="Z11" s="216"/>
    </row>
    <row r="12" spans="1:26" ht="15.75">
      <c r="B12" s="8"/>
      <c r="C12" s="8"/>
      <c r="D12" s="8"/>
      <c r="E12" s="8"/>
      <c r="H12" s="8"/>
      <c r="I12" s="8"/>
      <c r="J12" s="8"/>
      <c r="K12" s="8"/>
      <c r="L12" s="8"/>
      <c r="Q12" s="15" t="s">
        <v>11</v>
      </c>
      <c r="R12" s="8"/>
      <c r="S12" s="158">
        <f>Model!D44</f>
        <v>44032</v>
      </c>
      <c r="T12" s="158">
        <f>Model!E44</f>
        <v>45749</v>
      </c>
      <c r="U12" s="158">
        <f>Model!F44</f>
        <v>41459</v>
      </c>
      <c r="V12" s="158">
        <f>Model!G44</f>
        <v>35553.340825905172</v>
      </c>
      <c r="W12" s="158">
        <f>Model!H44</f>
        <v>40919.849527820188</v>
      </c>
      <c r="X12" s="158">
        <f>Model!I44</f>
        <v>42804.637054082552</v>
      </c>
      <c r="Y12" s="158">
        <f>Model!J44</f>
        <v>44764.816081395402</v>
      </c>
      <c r="Z12" s="158">
        <f>Model!K44</f>
        <v>46803.402269800761</v>
      </c>
    </row>
    <row r="13" spans="1:26" ht="15.75">
      <c r="B13" s="8"/>
      <c r="C13" s="8"/>
      <c r="D13" s="8"/>
      <c r="E13" s="8"/>
      <c r="H13" s="8"/>
      <c r="I13" s="8"/>
      <c r="J13" s="8"/>
      <c r="K13" s="8"/>
      <c r="L13" s="8"/>
      <c r="Q13" s="20" t="s">
        <v>10</v>
      </c>
      <c r="S13" s="150">
        <f>(S12/S8)*100</f>
        <v>12.668600101275146</v>
      </c>
      <c r="T13" s="150">
        <f t="shared" ref="T13:Z13" si="1">(T12/T8)*100</f>
        <v>12.682830814269398</v>
      </c>
      <c r="U13" s="150">
        <f t="shared" si="1"/>
        <v>11.476476254802742</v>
      </c>
      <c r="V13" s="150">
        <f t="shared" si="1"/>
        <v>9.463173806731433</v>
      </c>
      <c r="W13" s="150">
        <f t="shared" si="1"/>
        <v>10.472662052167921</v>
      </c>
      <c r="X13" s="150">
        <f t="shared" si="1"/>
        <v>10.53369018726803</v>
      </c>
      <c r="Y13" s="150">
        <f t="shared" si="1"/>
        <v>10.59237108640275</v>
      </c>
      <c r="Z13" s="150">
        <f t="shared" si="1"/>
        <v>10.648795027878439</v>
      </c>
    </row>
    <row r="14" spans="1:26" ht="15.75">
      <c r="B14" s="8"/>
      <c r="C14" s="8"/>
      <c r="D14" s="8"/>
      <c r="E14" s="8"/>
      <c r="H14" s="8"/>
      <c r="I14" s="8"/>
      <c r="J14" s="8"/>
      <c r="K14" s="8"/>
      <c r="L14" s="8"/>
      <c r="Q14" s="20" t="s">
        <v>142</v>
      </c>
      <c r="R14" s="19"/>
      <c r="S14" s="215">
        <f>S12/S8</f>
        <v>0.12668600101275146</v>
      </c>
      <c r="T14" s="215">
        <f>T12/T8</f>
        <v>0.12682830814269397</v>
      </c>
      <c r="U14" s="215">
        <f>U12/U8</f>
        <v>0.11476476254802742</v>
      </c>
      <c r="V14" s="215">
        <f>V12/V8</f>
        <v>9.4631738067314328E-2</v>
      </c>
      <c r="W14" s="215">
        <f>W12/W8</f>
        <v>0.10472662052167921</v>
      </c>
      <c r="X14" s="215">
        <f>X12/X8</f>
        <v>0.1053369018726803</v>
      </c>
      <c r="Y14" s="215">
        <f>Y12/Y8</f>
        <v>0.10592371086402749</v>
      </c>
      <c r="Z14" s="215">
        <f>Z12/Z8</f>
        <v>0.10648795027878438</v>
      </c>
    </row>
    <row r="15" spans="1:26" ht="15.75">
      <c r="B15" s="8"/>
      <c r="C15" s="8"/>
      <c r="D15" s="8"/>
      <c r="E15" s="8"/>
      <c r="H15" s="8"/>
      <c r="I15" s="8"/>
      <c r="J15" s="8"/>
      <c r="K15" s="8"/>
      <c r="L15" s="8"/>
      <c r="Q15" s="8"/>
      <c r="R15" s="8"/>
      <c r="S15" s="155"/>
      <c r="T15" s="155"/>
      <c r="U15" s="155"/>
      <c r="V15" s="155"/>
      <c r="W15" s="155"/>
      <c r="X15" s="155"/>
      <c r="Y15" s="155"/>
      <c r="Z15" s="155"/>
    </row>
    <row r="16" spans="1:26" ht="15.75">
      <c r="B16" s="8"/>
      <c r="C16" s="8"/>
      <c r="D16" s="8"/>
      <c r="E16" s="8"/>
      <c r="H16" s="8"/>
      <c r="I16" s="8"/>
      <c r="J16" s="8"/>
      <c r="K16" s="8"/>
      <c r="L16" s="8"/>
      <c r="Q16" s="17" t="s">
        <v>9</v>
      </c>
      <c r="R16" s="17"/>
      <c r="S16" s="155"/>
      <c r="T16" s="155"/>
      <c r="U16" s="155"/>
      <c r="V16" s="155"/>
      <c r="W16" s="155"/>
      <c r="X16" s="155"/>
      <c r="Y16" s="155"/>
      <c r="Z16" s="155"/>
    </row>
    <row r="17" spans="1:29" ht="15.75">
      <c r="B17" s="8"/>
      <c r="C17" s="8"/>
      <c r="D17" s="8"/>
      <c r="E17" s="8"/>
      <c r="H17" s="8"/>
      <c r="I17" s="8"/>
      <c r="J17" s="8"/>
      <c r="K17" s="8"/>
      <c r="L17" s="8"/>
      <c r="Q17" s="15" t="s">
        <v>8</v>
      </c>
      <c r="R17" s="8"/>
      <c r="S17" s="158">
        <f>Model!D101</f>
        <v>125963</v>
      </c>
      <c r="T17" s="158">
        <f>Model!E101</f>
        <v>124214</v>
      </c>
      <c r="U17" s="158">
        <f>Model!F101</f>
        <v>116977</v>
      </c>
      <c r="V17" s="158">
        <f>Model!G101</f>
        <v>119023.01913943408</v>
      </c>
      <c r="W17" s="158">
        <f>Model!H101</f>
        <v>128221.28003391541</v>
      </c>
      <c r="X17" s="158">
        <f>Model!I101</f>
        <v>131772.57090152116</v>
      </c>
      <c r="Y17" s="158">
        <f>Model!J101</f>
        <v>134784.95982358424</v>
      </c>
      <c r="Z17" s="158">
        <f>Model!K101</f>
        <v>141600.00841775615</v>
      </c>
    </row>
    <row r="18" spans="1:29" ht="15.75">
      <c r="B18" s="8"/>
      <c r="C18" s="8"/>
      <c r="D18" s="8"/>
      <c r="E18" s="8"/>
      <c r="H18" s="8"/>
      <c r="I18" s="8"/>
      <c r="J18" s="8"/>
      <c r="K18" s="8"/>
      <c r="L18" s="8"/>
      <c r="Q18" s="15" t="s">
        <v>7</v>
      </c>
      <c r="R18" s="8"/>
      <c r="S18" s="158">
        <f>Model!D107</f>
        <v>-66394</v>
      </c>
      <c r="T18" s="158">
        <f>Model!E107</f>
        <v>-72579</v>
      </c>
      <c r="U18" s="158">
        <f>Model!F107</f>
        <v>-62700</v>
      </c>
      <c r="V18" s="158">
        <f>Model!G107</f>
        <v>-67224.333333333328</v>
      </c>
      <c r="W18" s="158">
        <f>Model!H107</f>
        <v>-67501.111111111109</v>
      </c>
      <c r="X18" s="158">
        <f>Model!I107</f>
        <v>-65808.481481481489</v>
      </c>
      <c r="Y18" s="158">
        <f>Model!J107</f>
        <v>-66844.641975308652</v>
      </c>
      <c r="Z18" s="158">
        <f>Model!K107</f>
        <v>-66718.078189300417</v>
      </c>
    </row>
    <row r="19" spans="1:29" ht="15.75">
      <c r="B19" s="8"/>
      <c r="C19" s="8"/>
      <c r="D19" s="8"/>
      <c r="E19" s="8"/>
      <c r="H19" s="8"/>
      <c r="I19" s="8"/>
      <c r="J19" s="8"/>
      <c r="K19" s="8"/>
      <c r="L19" s="8"/>
      <c r="Q19" s="15" t="s">
        <v>6</v>
      </c>
      <c r="R19" s="8"/>
      <c r="S19" s="158">
        <f>Model!D115</f>
        <v>-57492</v>
      </c>
      <c r="T19" s="158">
        <f>Model!E115</f>
        <v>-75827</v>
      </c>
      <c r="U19" s="158">
        <f>Model!F115</f>
        <v>-64950</v>
      </c>
      <c r="V19" s="158">
        <f>Model!G115</f>
        <v>-74385.811715976699</v>
      </c>
      <c r="W19" s="158">
        <f>Model!H115</f>
        <v>-70599.133242439973</v>
      </c>
      <c r="X19" s="158">
        <f>Model!I115</f>
        <v>-81329.702696975961</v>
      </c>
      <c r="Y19" s="158">
        <f>Model!J115</f>
        <v>-66872.814929693384</v>
      </c>
      <c r="Z19" s="158">
        <f>Model!K115</f>
        <v>-76203.951651719515</v>
      </c>
      <c r="AA19" s="8"/>
      <c r="AB19" s="8"/>
      <c r="AC19" s="8"/>
    </row>
    <row r="20" spans="1:29" ht="16.5" thickBot="1">
      <c r="Q20" s="15" t="s">
        <v>5</v>
      </c>
      <c r="R20" s="8"/>
      <c r="S20" s="217">
        <f>SUM(S17:S19)</f>
        <v>2077</v>
      </c>
      <c r="T20" s="217">
        <f t="shared" ref="T20:Z20" si="2">SUM(T17:T19)</f>
        <v>-24192</v>
      </c>
      <c r="U20" s="217">
        <f t="shared" si="2"/>
        <v>-10673</v>
      </c>
      <c r="V20" s="217">
        <f t="shared" si="2"/>
        <v>-22587.125909875947</v>
      </c>
      <c r="W20" s="217">
        <f t="shared" si="2"/>
        <v>-9878.9643196356774</v>
      </c>
      <c r="X20" s="217">
        <f t="shared" si="2"/>
        <v>-15365.613276936288</v>
      </c>
      <c r="Y20" s="217">
        <f t="shared" si="2"/>
        <v>1067.5029185822059</v>
      </c>
      <c r="Z20" s="217">
        <f t="shared" si="2"/>
        <v>-1322.0214232637809</v>
      </c>
    </row>
    <row r="21" spans="1:29" ht="21">
      <c r="A21" t="s">
        <v>0</v>
      </c>
      <c r="B21" s="214" t="s">
        <v>135</v>
      </c>
      <c r="C21" s="214"/>
      <c r="D21" s="214"/>
      <c r="E21" s="214"/>
      <c r="F21" s="214"/>
      <c r="G21" s="225"/>
      <c r="H21" s="214" t="s">
        <v>140</v>
      </c>
      <c r="I21" s="214"/>
      <c r="J21" s="214"/>
      <c r="K21" s="214"/>
      <c r="L21" s="214"/>
      <c r="M21" s="214"/>
      <c r="N21" s="214"/>
    </row>
    <row r="22" spans="1:29" ht="16.5">
      <c r="B22" s="218"/>
      <c r="C22" s="218"/>
      <c r="D22" s="218"/>
      <c r="E22" s="218"/>
      <c r="F22" s="218"/>
      <c r="G22" s="218"/>
      <c r="H22" s="1"/>
      <c r="I22" s="1"/>
      <c r="J22" s="1"/>
      <c r="K22" s="1"/>
      <c r="L22" s="1"/>
      <c r="M22" s="1"/>
      <c r="Q22" s="17" t="s">
        <v>135</v>
      </c>
    </row>
    <row r="23" spans="1:29" ht="16.5">
      <c r="B23" s="218"/>
      <c r="C23" s="218"/>
      <c r="D23" s="218"/>
      <c r="E23" s="218"/>
      <c r="F23" s="218"/>
      <c r="G23" s="218"/>
      <c r="H23" s="219"/>
      <c r="I23" s="2"/>
      <c r="J23" s="226" t="s">
        <v>138</v>
      </c>
      <c r="K23" s="227"/>
      <c r="L23" s="227" t="s">
        <v>139</v>
      </c>
      <c r="M23" s="227"/>
      <c r="N23" s="228"/>
      <c r="Q23" s="15" t="s">
        <v>137</v>
      </c>
      <c r="S23" s="158">
        <f>Model!D33*-1</f>
        <v>125319</v>
      </c>
      <c r="T23" s="158">
        <f>Model!E33*-1</f>
        <v>132187</v>
      </c>
      <c r="U23" s="158">
        <f>Model!F33*-1</f>
        <v>126221</v>
      </c>
      <c r="V23" s="158">
        <f>Model!G33*-1</f>
        <v>134803.87075546797</v>
      </c>
      <c r="W23" s="158">
        <f>Model!H33*-1</f>
        <v>140196.02558568667</v>
      </c>
      <c r="X23" s="158">
        <f>Model!I33*-1</f>
        <v>145803.86660911413</v>
      </c>
      <c r="Y23" s="158">
        <f>Model!J33*-1</f>
        <v>151636.02127347872</v>
      </c>
      <c r="Z23" s="158">
        <f>Model!K33*-1</f>
        <v>157701.46212441786</v>
      </c>
    </row>
    <row r="24" spans="1:29" ht="16.5">
      <c r="B24" s="218"/>
      <c r="C24" s="218"/>
      <c r="D24" s="218"/>
      <c r="E24" s="218"/>
      <c r="F24" s="218"/>
      <c r="G24" s="218"/>
      <c r="H24" s="219"/>
      <c r="I24" s="220" t="s">
        <v>14</v>
      </c>
      <c r="J24" s="222">
        <f>AVERAGE(V8:Z8)</f>
        <v>406984.730348585</v>
      </c>
      <c r="K24" s="219"/>
      <c r="L24" s="219"/>
      <c r="P24" s="151"/>
      <c r="Q24" s="15" t="s">
        <v>108</v>
      </c>
      <c r="S24" s="158">
        <f>Model!D36*-1</f>
        <v>86339</v>
      </c>
      <c r="T24" s="158">
        <f>Model!E36*-1</f>
        <v>82063</v>
      </c>
      <c r="U24" s="158">
        <f>Model!F36*-1</f>
        <v>86015</v>
      </c>
      <c r="V24" s="158">
        <f>Model!G36*-1</f>
        <v>89418.564961830169</v>
      </c>
      <c r="W24" s="158">
        <f>Model!H36*-1</f>
        <v>92995.307560303365</v>
      </c>
      <c r="X24" s="158">
        <f>Model!I36*-1</f>
        <v>96715.11986271551</v>
      </c>
      <c r="Y24" s="158">
        <f>Model!J36*-1</f>
        <v>100583.72465722413</v>
      </c>
      <c r="Z24" s="158">
        <f>Model!K36*-1</f>
        <v>104607.0736435131</v>
      </c>
    </row>
    <row r="25" spans="1:29" ht="16.5">
      <c r="B25" s="218"/>
      <c r="C25" s="218"/>
      <c r="D25" s="218"/>
      <c r="E25" s="218"/>
      <c r="F25" s="218"/>
      <c r="G25" s="218"/>
      <c r="H25" s="219"/>
      <c r="I25" s="220"/>
      <c r="J25" s="221"/>
      <c r="K25" s="219"/>
      <c r="L25" s="219"/>
      <c r="M25" s="219"/>
      <c r="P25" s="151"/>
      <c r="Q25" s="15" t="s">
        <v>109</v>
      </c>
      <c r="S25" s="158">
        <f>Model!D37*-1</f>
        <v>85687</v>
      </c>
      <c r="T25" s="158">
        <f>Model!E37*-1</f>
        <v>83000</v>
      </c>
      <c r="U25" s="158">
        <f>Model!F37*-1</f>
        <v>80700</v>
      </c>
      <c r="V25" s="158">
        <f>Model!G37*-1</f>
        <v>87666.415468293693</v>
      </c>
      <c r="W25" s="158">
        <f>Model!H37*-1</f>
        <v>91173.072087025444</v>
      </c>
      <c r="X25" s="158">
        <f>Model!I37*-1</f>
        <v>94819.994970506465</v>
      </c>
      <c r="Y25" s="158">
        <f>Model!J37*-1</f>
        <v>98612.79476932672</v>
      </c>
      <c r="Z25" s="158">
        <f>Model!K37*-1</f>
        <v>102557.30656009979</v>
      </c>
    </row>
    <row r="26" spans="1:29" ht="16.5">
      <c r="B26" s="218"/>
      <c r="C26" s="218"/>
      <c r="D26" s="218"/>
      <c r="E26" s="218"/>
      <c r="F26" s="218"/>
      <c r="G26" s="218"/>
      <c r="H26" s="219"/>
      <c r="I26" s="220" t="s">
        <v>137</v>
      </c>
      <c r="J26" s="222">
        <f>AVERAGE(V23:Z23)</f>
        <v>146028.24926963309</v>
      </c>
      <c r="K26" s="219"/>
      <c r="L26" s="219"/>
      <c r="N26" s="219"/>
      <c r="P26" s="151"/>
      <c r="Q26" s="15" t="s">
        <v>84</v>
      </c>
      <c r="S26" s="158">
        <f>Model!D40*-1</f>
        <v>-12577</v>
      </c>
      <c r="T26" s="158">
        <f>Model!E40*-1</f>
        <v>732</v>
      </c>
      <c r="U26" s="158">
        <f>Model!F40*-1</f>
        <v>10188</v>
      </c>
      <c r="V26" s="158">
        <f>Model!G40*-1</f>
        <v>13738.100890598102</v>
      </c>
      <c r="W26" s="158">
        <f>Model!H40*-1</f>
        <v>8732.1670827307389</v>
      </c>
      <c r="X26" s="158">
        <f>Model!I40*-1</f>
        <v>8732.1670827307389</v>
      </c>
      <c r="Y26" s="158">
        <f>Model!J40*-1</f>
        <v>8732.1670827307389</v>
      </c>
      <c r="Z26" s="158">
        <f>Model!K40*-1</f>
        <v>8732.1670827307389</v>
      </c>
    </row>
    <row r="27" spans="1:29" ht="17.25" thickBot="1">
      <c r="B27" s="218"/>
      <c r="C27" s="218"/>
      <c r="D27" s="218"/>
      <c r="E27" s="218"/>
      <c r="F27" s="218"/>
      <c r="G27" s="218"/>
      <c r="H27" s="219"/>
      <c r="I27" s="220"/>
      <c r="J27" s="221"/>
      <c r="K27" s="219"/>
      <c r="L27" s="219"/>
      <c r="M27" s="219"/>
      <c r="P27" s="151"/>
      <c r="Q27" s="15" t="s">
        <v>136</v>
      </c>
      <c r="S27" s="217">
        <f>SUM(S23:S26)</f>
        <v>284768</v>
      </c>
      <c r="T27" s="217">
        <f t="shared" ref="T27:Z27" si="3">SUM(T23:T26)</f>
        <v>297982</v>
      </c>
      <c r="U27" s="217">
        <f t="shared" si="3"/>
        <v>303124</v>
      </c>
      <c r="V27" s="217">
        <f t="shared" si="3"/>
        <v>325626.95207618992</v>
      </c>
      <c r="W27" s="217">
        <f t="shared" si="3"/>
        <v>333096.57231574622</v>
      </c>
      <c r="X27" s="217">
        <f t="shared" si="3"/>
        <v>346071.14852506685</v>
      </c>
      <c r="Y27" s="217">
        <f t="shared" si="3"/>
        <v>359564.70778276032</v>
      </c>
      <c r="Z27" s="217">
        <f t="shared" si="3"/>
        <v>373598.00941076147</v>
      </c>
    </row>
    <row r="28" spans="1:29" ht="16.5">
      <c r="B28" s="218"/>
      <c r="C28" s="218"/>
      <c r="D28" s="218"/>
      <c r="E28" s="218"/>
      <c r="F28" s="218"/>
      <c r="G28" s="218"/>
      <c r="H28" s="5"/>
      <c r="I28" s="220" t="s">
        <v>141</v>
      </c>
      <c r="J28" s="222">
        <f>AVERAGE(V24:Z24)</f>
        <v>96863.958137117239</v>
      </c>
      <c r="K28" s="219"/>
      <c r="L28" s="219"/>
      <c r="M28" s="219"/>
      <c r="P28" s="151"/>
    </row>
    <row r="29" spans="1:29" ht="16.5">
      <c r="B29" s="218"/>
      <c r="C29" s="218"/>
      <c r="D29" s="218"/>
      <c r="E29" s="218"/>
      <c r="F29" s="218"/>
      <c r="G29" s="218"/>
      <c r="H29" s="5"/>
      <c r="I29" s="220"/>
      <c r="J29" s="221"/>
      <c r="K29" s="219"/>
      <c r="L29" s="219"/>
      <c r="M29" s="219"/>
      <c r="P29" s="151"/>
    </row>
    <row r="30" spans="1:29" ht="16.5">
      <c r="B30" s="218"/>
      <c r="C30" s="218"/>
      <c r="D30" s="218"/>
      <c r="E30" s="218"/>
      <c r="F30" s="218"/>
      <c r="G30" s="218"/>
      <c r="H30" s="5"/>
      <c r="I30" s="220" t="s">
        <v>10</v>
      </c>
      <c r="J30" s="222">
        <f>AVERAGE(V13:Z13)</f>
        <v>10.342138432089715</v>
      </c>
      <c r="K30" s="219"/>
      <c r="L30" s="219"/>
      <c r="M30" s="219"/>
      <c r="P30" s="151"/>
    </row>
    <row r="31" spans="1:29" ht="16.5">
      <c r="B31" s="218"/>
      <c r="C31" s="218"/>
      <c r="D31" s="218"/>
      <c r="E31" s="218"/>
      <c r="F31" s="218"/>
      <c r="G31" s="218"/>
      <c r="H31" s="5"/>
      <c r="I31" s="220"/>
      <c r="J31" s="223"/>
      <c r="K31" s="219"/>
      <c r="L31" s="219"/>
      <c r="M31" s="219"/>
      <c r="P31" s="151"/>
    </row>
    <row r="32" spans="1:29" ht="16.5">
      <c r="B32" s="218"/>
      <c r="C32" s="218"/>
      <c r="D32" s="218"/>
      <c r="E32" s="218"/>
      <c r="F32" s="218"/>
      <c r="G32" s="218"/>
      <c r="H32" s="5"/>
      <c r="I32" s="220" t="s">
        <v>143</v>
      </c>
      <c r="J32" s="224">
        <f>AVERAGE(V14:Z14)</f>
        <v>0.10342138432089713</v>
      </c>
      <c r="K32" s="219"/>
      <c r="L32" s="219"/>
      <c r="M32" s="219"/>
      <c r="P32" s="151"/>
    </row>
    <row r="33" spans="2:13" ht="16.5">
      <c r="B33" s="218"/>
      <c r="C33" s="218"/>
      <c r="D33" s="218"/>
      <c r="E33" s="218"/>
      <c r="F33" s="218"/>
      <c r="G33" s="218"/>
      <c r="K33" s="219"/>
      <c r="L33" s="219"/>
      <c r="M33" s="219"/>
    </row>
    <row r="34" spans="2:13" ht="15.75">
      <c r="K34" s="219"/>
      <c r="L34" s="219"/>
      <c r="M34" s="219"/>
    </row>
    <row r="35" spans="2:13" ht="15.75">
      <c r="K35" s="219"/>
      <c r="L35" s="219"/>
      <c r="M35" s="219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63EA747-1412-41F2-B696-3ED12137FE5E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Dashboard!V14:Z14</xm:f>
              <xm:sqref>N32</xm:sqref>
            </x14:sparkline>
          </x14:sparklines>
        </x14:sparklineGroup>
        <x14:sparklineGroup type="column" displayEmptyCellsAs="gap" xr2:uid="{BAA3B61F-5105-45C4-9FC2-B8651FF52998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Dashboard!V14:Z14</xm:f>
              <xm:sqref>L32</xm:sqref>
            </x14:sparkline>
          </x14:sparklines>
        </x14:sparklineGroup>
        <x14:sparklineGroup displayEmptyCellsAs="gap" xr2:uid="{EEF9C46D-3705-46C0-B02E-26A7EC3079B1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Dashboard!V13:Z13</xm:f>
              <xm:sqref>N30</xm:sqref>
            </x14:sparkline>
          </x14:sparklines>
        </x14:sparklineGroup>
        <x14:sparklineGroup type="column" displayEmptyCellsAs="gap" xr2:uid="{14F42685-833B-4171-BA3F-DDACB1D4BDE4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Dashboard!V13:Z13</xm:f>
              <xm:sqref>L30</xm:sqref>
            </x14:sparkline>
          </x14:sparklines>
        </x14:sparklineGroup>
        <x14:sparklineGroup displayEmptyCellsAs="gap" xr2:uid="{97585252-C78F-4890-9741-8E3BC2663E3E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Dashboard!V24:Z24</xm:f>
              <xm:sqref>N28</xm:sqref>
            </x14:sparkline>
          </x14:sparklines>
        </x14:sparklineGroup>
        <x14:sparklineGroup type="column" displayEmptyCellsAs="gap" xr2:uid="{D5140AEF-67F2-48DC-9DA9-D65FFF383002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Dashboard!V24:Z24</xm:f>
              <xm:sqref>L28</xm:sqref>
            </x14:sparkline>
          </x14:sparklines>
        </x14:sparklineGroup>
        <x14:sparklineGroup displayEmptyCellsAs="gap" xr2:uid="{9FE8A933-FDB1-429B-A7F2-E1CD00C30C92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Dashboard!V23:Z23</xm:f>
              <xm:sqref>N26</xm:sqref>
            </x14:sparkline>
          </x14:sparklines>
        </x14:sparklineGroup>
        <x14:sparklineGroup type="column" displayEmptyCellsAs="gap" xr2:uid="{A21B9F7E-3BD3-40D8-992E-1AEF638B6987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Dashboard!V23:Z23</xm:f>
              <xm:sqref>L26</xm:sqref>
            </x14:sparkline>
          </x14:sparklines>
        </x14:sparklineGroup>
        <x14:sparklineGroup displayEmptyCellsAs="gap" xr2:uid="{F72055D2-10F6-4E75-93B1-C85C15A94174}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Dashboard!V8:Z8</xm:f>
              <xm:sqref>N24</xm:sqref>
            </x14:sparkline>
          </x14:sparklines>
        </x14:sparklineGroup>
        <x14:sparklineGroup type="column" displayEmptyCellsAs="gap" negative="1" xr2:uid="{E4670823-F6DB-4B24-B59F-9C76F650714A}">
          <x14:colorSeries theme="5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Dashboard!V8:Z8</xm:f>
              <xm:sqref>L24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32B-5243-456F-83DC-A213D7841498}">
  <sheetPr>
    <tabColor theme="1"/>
  </sheetPr>
  <dimension ref="A1:R224"/>
  <sheetViews>
    <sheetView showGridLines="0" zoomScaleNormal="100" zoomScaleSheetLayoutView="70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8"/>
    <col min="2" max="2" width="41.140625" style="8" customWidth="1"/>
    <col min="3" max="11" width="13.140625" style="8" customWidth="1"/>
    <col min="12" max="12" width="2.42578125" style="8" customWidth="1"/>
    <col min="13" max="15" width="12.7109375" style="8" customWidth="1"/>
    <col min="16" max="16384" width="9.140625" style="8"/>
  </cols>
  <sheetData>
    <row r="1" spans="1:18" s="120" customFormat="1" ht="54.95" customHeight="1">
      <c r="A1" s="122"/>
      <c r="B1" s="6"/>
      <c r="C1" s="6"/>
      <c r="D1" s="6"/>
      <c r="E1" s="6"/>
      <c r="F1" s="123"/>
      <c r="G1" s="123"/>
      <c r="H1" s="123"/>
      <c r="I1" s="123"/>
      <c r="J1" s="123"/>
      <c r="K1" s="123"/>
      <c r="L1" s="122"/>
      <c r="M1" s="122"/>
      <c r="P1" s="121"/>
    </row>
    <row r="3" spans="1:18" s="12" customFormat="1" ht="15" customHeight="1">
      <c r="A3" s="12" t="s">
        <v>0</v>
      </c>
      <c r="B3" s="29" t="s">
        <v>104</v>
      </c>
      <c r="C3" s="29"/>
      <c r="D3" s="29"/>
      <c r="E3" s="29"/>
      <c r="F3" s="29"/>
      <c r="G3" s="29"/>
      <c r="H3" s="29"/>
      <c r="I3" s="29"/>
      <c r="J3" s="29"/>
      <c r="K3" s="29"/>
    </row>
    <row r="4" spans="1:18" ht="15" customHeight="1" outlineLevel="1">
      <c r="B4" s="17"/>
      <c r="C4" s="17"/>
      <c r="G4" s="97"/>
      <c r="H4" s="97"/>
      <c r="I4" s="97"/>
      <c r="J4" s="97"/>
      <c r="K4" s="97"/>
    </row>
    <row r="5" spans="1:18" s="108" customFormat="1" ht="15" customHeight="1" outlineLevel="1" thickBot="1">
      <c r="A5" s="109"/>
      <c r="B5" s="24" t="s">
        <v>15</v>
      </c>
      <c r="C5" s="24"/>
      <c r="D5" s="119">
        <v>-2</v>
      </c>
      <c r="E5" s="26">
        <f t="shared" ref="E5:K5" si="0">+D5+1</f>
        <v>-1</v>
      </c>
      <c r="F5" s="26">
        <f t="shared" si="0"/>
        <v>0</v>
      </c>
      <c r="G5" s="25">
        <f t="shared" si="0"/>
        <v>1</v>
      </c>
      <c r="H5" s="25">
        <f t="shared" si="0"/>
        <v>2</v>
      </c>
      <c r="I5" s="25">
        <f t="shared" si="0"/>
        <v>3</v>
      </c>
      <c r="J5" s="25">
        <f t="shared" si="0"/>
        <v>4</v>
      </c>
      <c r="K5" s="25">
        <f t="shared" si="0"/>
        <v>5</v>
      </c>
      <c r="L5" s="109"/>
      <c r="M5" s="109"/>
      <c r="N5" s="109"/>
      <c r="O5" s="109"/>
      <c r="P5" s="109"/>
    </row>
    <row r="6" spans="1:18" ht="15" customHeight="1" outlineLevel="1">
      <c r="B6" s="17"/>
      <c r="C6" s="17"/>
      <c r="G6" s="97"/>
      <c r="H6" s="97"/>
      <c r="I6" s="97"/>
      <c r="J6" s="97"/>
      <c r="K6" s="97"/>
    </row>
    <row r="7" spans="1:18" ht="15" customHeight="1" outlineLevel="1">
      <c r="B7" s="17" t="s">
        <v>50</v>
      </c>
      <c r="C7" s="17"/>
      <c r="D7" s="86">
        <v>365</v>
      </c>
      <c r="E7" s="86">
        <v>365</v>
      </c>
      <c r="F7" s="86">
        <v>365</v>
      </c>
      <c r="G7" s="86">
        <v>365</v>
      </c>
      <c r="H7" s="86">
        <v>365</v>
      </c>
      <c r="I7" s="86">
        <v>365</v>
      </c>
      <c r="J7" s="86">
        <v>365</v>
      </c>
      <c r="K7" s="86">
        <v>365</v>
      </c>
    </row>
    <row r="8" spans="1:18" ht="15" customHeight="1" outlineLevel="1"/>
    <row r="9" spans="1:18" ht="15" customHeight="1" outlineLevel="1" thickBot="1">
      <c r="B9" s="17" t="s">
        <v>4</v>
      </c>
      <c r="C9" s="17"/>
      <c r="E9" s="118"/>
      <c r="G9" s="97"/>
      <c r="H9" s="97"/>
      <c r="I9" s="97"/>
      <c r="J9" s="97"/>
      <c r="K9" s="97"/>
      <c r="M9" s="137" t="s">
        <v>107</v>
      </c>
      <c r="N9" s="136" t="s">
        <v>106</v>
      </c>
      <c r="O9" s="135" t="s">
        <v>105</v>
      </c>
    </row>
    <row r="10" spans="1:18" ht="15" customHeight="1" outlineLevel="1">
      <c r="B10" s="15" t="s">
        <v>103</v>
      </c>
      <c r="C10" s="15"/>
      <c r="D10" s="15"/>
      <c r="E10" s="113">
        <f>Model!E32/Model!D32-1</f>
        <v>3.782856879804819E-2</v>
      </c>
      <c r="F10" s="113">
        <f>Model!F32/Model!E32-1</f>
        <v>1.485933532197059E-3</v>
      </c>
      <c r="G10" s="111">
        <v>0.06</v>
      </c>
      <c r="H10" s="111">
        <v>0.06</v>
      </c>
      <c r="I10" s="111">
        <v>0.06</v>
      </c>
      <c r="J10" s="111">
        <v>0.06</v>
      </c>
      <c r="K10" s="111">
        <v>0.06</v>
      </c>
      <c r="M10" s="146">
        <f>SUM(Model!E10:F10)</f>
        <v>3.9314502330245249E-2</v>
      </c>
      <c r="N10" s="145">
        <f>SUM(E10:F10)</f>
        <v>3.9314502330245249E-2</v>
      </c>
      <c r="O10" s="127" cm="1">
        <f t="array" ref="O10">IF(SUM(ISBLANK(Model!E10:F10)*1)&gt;0,0,IF(M10=N10,1,0))</f>
        <v>1</v>
      </c>
    </row>
    <row r="11" spans="1:18" ht="15" customHeight="1" outlineLevel="1">
      <c r="B11" s="15" t="s">
        <v>102</v>
      </c>
      <c r="C11" s="15"/>
      <c r="D11" s="113">
        <f>Model!D34/Model!D32</f>
        <v>0.63944033973208125</v>
      </c>
      <c r="E11" s="113">
        <f>Model!E34/Model!E32</f>
        <v>0.63354273167810693</v>
      </c>
      <c r="F11" s="113">
        <f>Model!F34/Model!F32</f>
        <v>0.65060124234606309</v>
      </c>
      <c r="G11" s="111">
        <v>0.55000000000000004</v>
      </c>
      <c r="H11" s="111">
        <v>0.55000000000000004</v>
      </c>
      <c r="I11" s="111">
        <v>0.55000000000000004</v>
      </c>
      <c r="J11" s="111">
        <v>0.55000000000000004</v>
      </c>
      <c r="K11" s="111">
        <v>0.55000000000000004</v>
      </c>
      <c r="M11" s="146">
        <f>SUM(Model!D11:F11)</f>
        <v>1.9235843137562512</v>
      </c>
      <c r="N11" s="145">
        <f t="shared" ref="N11:N17" si="1">SUM(D11:F11)</f>
        <v>1.9235843137562512</v>
      </c>
      <c r="O11" s="127" cm="1">
        <f t="array" ref="O11">IF(SUM(ISBLANK(Model!D11:F11)*1)&gt;0,0,IF(M11=N11,1,0))</f>
        <v>1</v>
      </c>
    </row>
    <row r="12" spans="1:18" ht="15" customHeight="1" outlineLevel="1">
      <c r="B12" s="15" t="s">
        <v>101</v>
      </c>
      <c r="C12" s="15"/>
      <c r="D12" s="113">
        <f>Model!D36/Model!D32*-1</f>
        <v>0.24840894443677208</v>
      </c>
      <c r="E12" s="113">
        <f>Model!E36/Model!E32*-1</f>
        <v>0.22750030494904577</v>
      </c>
      <c r="F12" s="113">
        <f>Model!F36/Model!F32*-1</f>
        <v>0.23810248801390718</v>
      </c>
      <c r="G12" s="111">
        <v>7.4999999999999997E-2</v>
      </c>
      <c r="H12" s="111">
        <v>7.4999999999999997E-2</v>
      </c>
      <c r="I12" s="111">
        <v>7.4999999999999997E-2</v>
      </c>
      <c r="J12" s="111">
        <v>7.4999999999999997E-2</v>
      </c>
      <c r="K12" s="111">
        <v>7.4999999999999997E-2</v>
      </c>
      <c r="M12" s="146">
        <f>SUM(Model!D12:F12)</f>
        <v>0.71401173739972501</v>
      </c>
      <c r="N12" s="145">
        <f t="shared" si="1"/>
        <v>0.71401173739972501</v>
      </c>
      <c r="O12" s="127" cm="1">
        <f t="array" ref="O12">IF(SUM(ISBLANK(Model!D12:F12)*1)&gt;0,0,IF(M12=N12,1,0))</f>
        <v>1</v>
      </c>
    </row>
    <row r="13" spans="1:18" ht="15" customHeight="1" outlineLevel="1">
      <c r="B13" s="15" t="s">
        <v>100</v>
      </c>
      <c r="C13" s="15"/>
      <c r="D13" s="117" t="e">
        <f>-Model!#REF!</f>
        <v>#REF!</v>
      </c>
      <c r="E13" s="117" t="e">
        <f>-Model!#REF!</f>
        <v>#REF!</v>
      </c>
      <c r="F13" s="117" t="e">
        <f>-Model!#REF!</f>
        <v>#REF!</v>
      </c>
      <c r="G13" s="116">
        <v>32063</v>
      </c>
      <c r="H13" s="116">
        <v>33346</v>
      </c>
      <c r="I13" s="116">
        <v>34680</v>
      </c>
      <c r="J13" s="116">
        <v>36067</v>
      </c>
      <c r="K13" s="116">
        <v>37509</v>
      </c>
      <c r="M13" s="129" t="e">
        <f>SUM(Model!#REF!)</f>
        <v>#REF!</v>
      </c>
      <c r="N13" s="128" t="e">
        <f t="shared" si="1"/>
        <v>#REF!</v>
      </c>
      <c r="O13" s="127" t="e" cm="1">
        <f t="array" ref="O13">IF(SUM(ISBLANK(Model!#REF!)*1)&gt;0,0,IF(M13=N13,1,0))</f>
        <v>#REF!</v>
      </c>
      <c r="P13" s="116"/>
      <c r="Q13" s="116"/>
      <c r="R13" s="116"/>
    </row>
    <row r="14" spans="1:18" ht="15" customHeight="1" outlineLevel="1">
      <c r="B14" s="15" t="s">
        <v>99</v>
      </c>
      <c r="C14" s="15"/>
      <c r="D14" s="113" t="e">
        <f>Model!#REF!/Model!D32*-1</f>
        <v>#REF!</v>
      </c>
      <c r="E14" s="113" t="e">
        <f>Model!#REF!/Model!E32*-1</f>
        <v>#REF!</v>
      </c>
      <c r="F14" s="113" t="e">
        <f>Model!#REF!/Model!F32*-1</f>
        <v>#REF!</v>
      </c>
      <c r="G14" s="111">
        <v>2.3E-2</v>
      </c>
      <c r="H14" s="111">
        <v>2.3E-2</v>
      </c>
      <c r="I14" s="111">
        <v>2.3E-2</v>
      </c>
      <c r="J14" s="111">
        <v>2.3E-2</v>
      </c>
      <c r="K14" s="111">
        <v>2.3E-2</v>
      </c>
      <c r="M14" s="146" t="e">
        <f>SUM(Model!#REF!)</f>
        <v>#REF!</v>
      </c>
      <c r="N14" s="145" t="e">
        <f t="shared" si="1"/>
        <v>#REF!</v>
      </c>
      <c r="O14" s="127" t="e" cm="1">
        <f t="array" ref="O14">IF(SUM(ISBLANK(Model!#REF!)*1)&gt;0,0,IF(M14=N14,1,0))</f>
        <v>#REF!</v>
      </c>
    </row>
    <row r="15" spans="1:18" ht="15" customHeight="1" outlineLevel="1">
      <c r="B15" s="15" t="s">
        <v>35</v>
      </c>
      <c r="C15" s="15"/>
      <c r="D15" s="113">
        <f>Model!D37/Model!D32*-1</f>
        <v>0.24653305252497354</v>
      </c>
      <c r="E15" s="113">
        <f>Model!E37/Model!E32*-1</f>
        <v>0.23009791636633806</v>
      </c>
      <c r="F15" s="113">
        <f>Model!F37/Model!F32*-1</f>
        <v>0.22338976670025357</v>
      </c>
      <c r="G15" s="111">
        <v>3.2000000000000001E-2</v>
      </c>
      <c r="H15" s="111">
        <v>3.2000000000000001E-2</v>
      </c>
      <c r="I15" s="111">
        <v>3.2000000000000001E-2</v>
      </c>
      <c r="J15" s="111">
        <v>3.2000000000000001E-2</v>
      </c>
      <c r="K15" s="111">
        <v>3.2000000000000001E-2</v>
      </c>
      <c r="M15" s="146">
        <f>SUM(Model!D13:F13)</f>
        <v>0.70002073559156519</v>
      </c>
      <c r="N15" s="145">
        <f t="shared" si="1"/>
        <v>0.70002073559156519</v>
      </c>
      <c r="O15" s="127" cm="1">
        <f t="array" ref="O15">IF(SUM(ISBLANK(Model!D13:F13)*1)&gt;0,0,IF(M15=N15,1,0))</f>
        <v>1</v>
      </c>
    </row>
    <row r="16" spans="1:18" ht="15" customHeight="1" outlineLevel="1">
      <c r="B16" s="15" t="s">
        <v>98</v>
      </c>
      <c r="C16" s="15"/>
      <c r="D16" s="113">
        <f>-Model!D40/AVERAGE(Model!C70:D70)</f>
        <v>-0.14968164236834275</v>
      </c>
      <c r="E16" s="113">
        <f>-Model!E40/AVERAGE(Model!D70:E70)</f>
        <v>6.183450821714725E-3</v>
      </c>
      <c r="F16" s="113">
        <f>-Model!F40/AVERAGE(Model!E70:F70)</f>
        <v>8.4896462647389689E-2</v>
      </c>
      <c r="G16" s="111">
        <v>6.2E-2</v>
      </c>
      <c r="H16" s="111">
        <v>6.2E-2</v>
      </c>
      <c r="I16" s="111">
        <v>6.2E-2</v>
      </c>
      <c r="J16" s="111">
        <v>6.2E-2</v>
      </c>
      <c r="K16" s="111">
        <v>6.2E-2</v>
      </c>
      <c r="L16" s="97"/>
      <c r="M16" s="146">
        <f>SUM(Model!D14:F14)</f>
        <v>0.78928898006002468</v>
      </c>
      <c r="N16" s="145">
        <f t="shared" si="1"/>
        <v>-5.8601728899238328E-2</v>
      </c>
      <c r="O16" s="127" cm="1">
        <f t="array" ref="O16">IF(SUM(ISBLANK(Model!D14:F14)*1)&gt;0,0,IF(M16=N16,1,0))</f>
        <v>0</v>
      </c>
    </row>
    <row r="17" spans="1:15" ht="15" customHeight="1" outlineLevel="1">
      <c r="B17" s="15" t="s">
        <v>97</v>
      </c>
      <c r="C17" s="15"/>
      <c r="D17" s="113">
        <f>Model!D43/Model!D41*-1</f>
        <v>0.29885350318471338</v>
      </c>
      <c r="E17" s="113">
        <f>Model!E43/Model!E41*-1</f>
        <v>0.27074632575636814</v>
      </c>
      <c r="F17" s="113">
        <f>Model!F43/Model!F41*-1</f>
        <v>0.28676369391687312</v>
      </c>
      <c r="G17" s="111">
        <v>0.3</v>
      </c>
      <c r="H17" s="111">
        <v>0.3</v>
      </c>
      <c r="I17" s="111">
        <v>0.3</v>
      </c>
      <c r="J17" s="111">
        <v>0.3</v>
      </c>
      <c r="K17" s="111">
        <v>0.3</v>
      </c>
      <c r="M17" s="134">
        <f>SUM(Model!D15:F15)</f>
        <v>0.8563635228579547</v>
      </c>
      <c r="N17" s="133">
        <f t="shared" si="1"/>
        <v>0.8563635228579547</v>
      </c>
      <c r="O17" s="124" cm="1">
        <f t="array" ref="O17">IF(SUM(ISBLANK(Model!D15:F15)*1)&gt;0,0,IF(M17=N17,1,0))</f>
        <v>1</v>
      </c>
    </row>
    <row r="18" spans="1:15" ht="15" customHeight="1" outlineLevel="1">
      <c r="G18" s="3"/>
      <c r="H18" s="3"/>
      <c r="I18" s="3"/>
      <c r="J18" s="3"/>
      <c r="K18" s="3"/>
    </row>
    <row r="19" spans="1:15" ht="15" customHeight="1" outlineLevel="1">
      <c r="B19" s="17" t="s">
        <v>81</v>
      </c>
      <c r="C19" s="17"/>
      <c r="D19" s="3"/>
      <c r="G19" s="3"/>
      <c r="H19" s="3"/>
      <c r="I19" s="3"/>
      <c r="J19" s="3"/>
      <c r="K19" s="3"/>
    </row>
    <row r="20" spans="1:15" ht="15" customHeight="1" outlineLevel="1">
      <c r="B20" s="15" t="s">
        <v>37</v>
      </c>
      <c r="C20" s="57" t="s">
        <v>36</v>
      </c>
      <c r="D20" s="115">
        <f>Model!D32/Model!D61</f>
        <v>1.3175336047490163</v>
      </c>
      <c r="E20" s="115">
        <f>Model!E32/Model!E61</f>
        <v>1.2490901472732121</v>
      </c>
      <c r="F20" s="115">
        <f>Model!F32/Model!F61</f>
        <v>1.2007911050540976</v>
      </c>
      <c r="G20" s="114">
        <v>4.25</v>
      </c>
      <c r="H20" s="114">
        <v>4.25</v>
      </c>
      <c r="I20" s="114">
        <v>4.25</v>
      </c>
      <c r="J20" s="114">
        <v>4.25</v>
      </c>
      <c r="K20" s="114">
        <v>4.25</v>
      </c>
      <c r="M20" s="148">
        <f>SUM(Model!D18:F18)</f>
        <v>3.767414857076326</v>
      </c>
      <c r="N20" s="147">
        <f t="shared" ref="N20:N27" si="2">SUM(D20:F20)</f>
        <v>3.767414857076326</v>
      </c>
      <c r="O20" s="130" cm="1">
        <f t="array" ref="O20">IF(SUM(ISBLANK(Model!D18:F18)*1)&gt;0,0,IF(M20=N20,1,0))</f>
        <v>1</v>
      </c>
    </row>
    <row r="21" spans="1:15" ht="15" customHeight="1" outlineLevel="1">
      <c r="B21" s="15" t="s">
        <v>96</v>
      </c>
      <c r="C21" s="57" t="s">
        <v>47</v>
      </c>
      <c r="D21" s="16">
        <f>Model!D56/Model!D32*Model!D7</f>
        <v>113.82726545596833</v>
      </c>
      <c r="E21" s="16">
        <f>Model!E56/Model!E32*Model!E7</f>
        <v>124.21693243438051</v>
      </c>
      <c r="F21" s="16">
        <f>Model!F56/Model!F32*Model!F7</f>
        <v>127.4588099166233</v>
      </c>
      <c r="G21" s="86">
        <v>60</v>
      </c>
      <c r="H21" s="86">
        <v>60</v>
      </c>
      <c r="I21" s="86">
        <v>60</v>
      </c>
      <c r="J21" s="86">
        <v>60</v>
      </c>
      <c r="K21" s="86">
        <v>60</v>
      </c>
      <c r="M21" s="129">
        <f>SUM(Model!D19:F19)</f>
        <v>365.50300780697216</v>
      </c>
      <c r="N21" s="128">
        <f t="shared" si="2"/>
        <v>365.50300780697216</v>
      </c>
      <c r="O21" s="127" cm="1">
        <f t="array" ref="O21">IF(SUM(ISBLANK(Model!D19:F19)*1)&gt;0,0,IF(M21=N21,1,0))</f>
        <v>1</v>
      </c>
    </row>
    <row r="22" spans="1:15" ht="15" customHeight="1" outlineLevel="1">
      <c r="B22" s="15" t="s">
        <v>95</v>
      </c>
      <c r="C22" s="57" t="s">
        <v>47</v>
      </c>
      <c r="D22" s="16">
        <f>Model!D57/-Model!D33*Model!D7</f>
        <v>36.069231321667104</v>
      </c>
      <c r="E22" s="16">
        <f>Model!E57/-Model!E33*Model!E7</f>
        <v>33.529734391430317</v>
      </c>
      <c r="F22" s="16">
        <f>Model!F57/-Model!F33*Model!F7</f>
        <v>29.735899731423459</v>
      </c>
      <c r="G22" s="86">
        <v>75</v>
      </c>
      <c r="H22" s="86">
        <v>75</v>
      </c>
      <c r="I22" s="86">
        <v>75</v>
      </c>
      <c r="J22" s="86">
        <v>75</v>
      </c>
      <c r="K22" s="86">
        <v>75</v>
      </c>
      <c r="M22" s="129">
        <f>SUM(Model!D20:F20)</f>
        <v>99.334865444520872</v>
      </c>
      <c r="N22" s="128">
        <f t="shared" si="2"/>
        <v>99.334865444520872</v>
      </c>
      <c r="O22" s="127" cm="1">
        <f t="array" ref="O22">IF(SUM(ISBLANK(Model!D20:F20)*1)&gt;0,0,IF(M22=N22,1,0))</f>
        <v>1</v>
      </c>
    </row>
    <row r="23" spans="1:15" ht="15" customHeight="1" outlineLevel="1">
      <c r="B23" s="15" t="s">
        <v>94</v>
      </c>
      <c r="C23" s="57" t="s">
        <v>47</v>
      </c>
      <c r="D23" s="16">
        <f>Model!D66/-Model!D33*Model!D7</f>
        <v>339.70726705447697</v>
      </c>
      <c r="E23" s="16">
        <f>Model!E66/-Model!E33*Model!E7</f>
        <v>349.02622799518861</v>
      </c>
      <c r="F23" s="16">
        <f>Model!F66/-Model!F33*Model!F7</f>
        <v>351.69215106836424</v>
      </c>
      <c r="G23" s="86">
        <v>100</v>
      </c>
      <c r="H23" s="86">
        <v>100</v>
      </c>
      <c r="I23" s="86">
        <v>100</v>
      </c>
      <c r="J23" s="86">
        <v>100</v>
      </c>
      <c r="K23" s="86">
        <v>100</v>
      </c>
      <c r="M23" s="129">
        <f>SUM(Model!D21:F21)</f>
        <v>1040.4256461180298</v>
      </c>
      <c r="N23" s="128">
        <f t="shared" si="2"/>
        <v>1040.4256461180298</v>
      </c>
      <c r="O23" s="127" cm="1">
        <f t="array" ref="O23">IF(SUM(ISBLANK(Model!D21:F21)*1)&gt;0,0,IF(M23=N23,1,0))</f>
        <v>1</v>
      </c>
    </row>
    <row r="24" spans="1:15" ht="15" customHeight="1" outlineLevel="1">
      <c r="B24" s="15" t="s">
        <v>46</v>
      </c>
      <c r="C24" s="15"/>
      <c r="D24" s="113">
        <f>Model!D67/-Model!D43</f>
        <v>2.241474850809889</v>
      </c>
      <c r="E24" s="113">
        <f>Model!E67/-Model!E43</f>
        <v>3.4382690609361202</v>
      </c>
      <c r="F24" s="113">
        <f>Model!F67/-Model!F43</f>
        <v>3.4834723138760575</v>
      </c>
      <c r="G24" s="111">
        <v>0.37</v>
      </c>
      <c r="H24" s="111">
        <v>0.37</v>
      </c>
      <c r="I24" s="111">
        <v>0.37</v>
      </c>
      <c r="J24" s="111">
        <v>0.37</v>
      </c>
      <c r="K24" s="111">
        <v>0.37</v>
      </c>
      <c r="M24" s="146" t="e">
        <f>SUM(Model!#REF!)</f>
        <v>#REF!</v>
      </c>
      <c r="N24" s="145">
        <f t="shared" si="2"/>
        <v>9.1632162256220653</v>
      </c>
      <c r="O24" s="127" t="e" cm="1">
        <f t="array" ref="O24">IF(SUM(ISBLANK(Model!#REF!)*1)&gt;0,0,IF(M24=N24,1,0))</f>
        <v>#REF!</v>
      </c>
    </row>
    <row r="25" spans="1:15" ht="15" customHeight="1" outlineLevel="1">
      <c r="B25" s="15" t="s">
        <v>93</v>
      </c>
      <c r="C25" s="15"/>
      <c r="D25" s="16">
        <f>Model!D70</f>
        <v>84025</v>
      </c>
      <c r="E25" s="16">
        <f>Model!E70</f>
        <v>152736</v>
      </c>
      <c r="F25" s="16">
        <f>Model!F70</f>
        <v>87274</v>
      </c>
      <c r="G25" s="86">
        <v>20000</v>
      </c>
      <c r="H25" s="86">
        <v>20000</v>
      </c>
      <c r="I25" s="86">
        <v>20000</v>
      </c>
      <c r="J25" s="86">
        <v>20000</v>
      </c>
      <c r="K25" s="86">
        <v>20000</v>
      </c>
      <c r="M25" s="129">
        <f>SUM(Model!D22:F22)</f>
        <v>99570</v>
      </c>
      <c r="N25" s="128">
        <f t="shared" si="2"/>
        <v>324035</v>
      </c>
      <c r="O25" s="127" cm="1">
        <f t="array" ref="O25">IF(SUM(ISBLANK(Model!D22:F22)*1)&gt;0,0,IF(M25=N25,1,0))</f>
        <v>0</v>
      </c>
    </row>
    <row r="26" spans="1:15" ht="15" customHeight="1" outlineLevel="1">
      <c r="B26" s="15" t="s">
        <v>92</v>
      </c>
      <c r="C26" s="15"/>
      <c r="D26" s="16">
        <f>Model!D78</f>
        <v>250000</v>
      </c>
      <c r="E26" s="16">
        <f>Model!E78</f>
        <v>250000</v>
      </c>
      <c r="F26" s="16">
        <f>Model!F78</f>
        <v>250000</v>
      </c>
      <c r="G26" s="86">
        <v>7627</v>
      </c>
      <c r="H26" s="86">
        <v>7627</v>
      </c>
      <c r="I26" s="86">
        <v>7627</v>
      </c>
      <c r="J26" s="86">
        <v>7627</v>
      </c>
      <c r="K26" s="86">
        <v>7627</v>
      </c>
      <c r="M26" s="129">
        <f>SUM(Model!D23:F23)</f>
        <v>750000</v>
      </c>
      <c r="N26" s="128">
        <f t="shared" si="2"/>
        <v>750000</v>
      </c>
      <c r="O26" s="127" cm="1">
        <f t="array" ref="O26">IF(SUM(ISBLANK(Model!D23:F23)*1)&gt;0,0,IF(M26=N26,1,0))</f>
        <v>1</v>
      </c>
    </row>
    <row r="27" spans="1:15" ht="15" customHeight="1" outlineLevel="1">
      <c r="B27" s="15" t="s">
        <v>91</v>
      </c>
      <c r="C27" s="15"/>
      <c r="D27" s="113">
        <f>Model!D46/Model!D44</f>
        <v>0.61319040697674421</v>
      </c>
      <c r="E27" s="113">
        <f>Model!E46/Model!E44</f>
        <v>0.86067455026339379</v>
      </c>
      <c r="F27" s="113">
        <f>Model!F46/Model!F44</f>
        <v>0.99495887503316527</v>
      </c>
      <c r="G27" s="111">
        <v>0.7</v>
      </c>
      <c r="H27" s="111">
        <v>0.7</v>
      </c>
      <c r="I27" s="111">
        <v>0.7</v>
      </c>
      <c r="J27" s="111">
        <v>0.7</v>
      </c>
      <c r="K27" s="111">
        <v>0.7</v>
      </c>
      <c r="M27" s="134">
        <f>SUM(Model!D24:F24)</f>
        <v>2.4688238322733032</v>
      </c>
      <c r="N27" s="133">
        <f t="shared" si="2"/>
        <v>2.4688238322733032</v>
      </c>
      <c r="O27" s="124" cm="1">
        <f t="array" ref="O27">IF(SUM(ISBLANK(Model!D24:F24)*1)&gt;0,0,IF(M27=N27,1,0))</f>
        <v>1</v>
      </c>
    </row>
    <row r="28" spans="1:15" ht="15" customHeight="1" outlineLevel="1">
      <c r="B28" s="15"/>
      <c r="C28" s="15"/>
      <c r="D28" s="112"/>
      <c r="E28" s="112"/>
      <c r="F28" s="112"/>
      <c r="G28" s="111"/>
      <c r="H28" s="111"/>
      <c r="I28" s="111"/>
      <c r="J28" s="111"/>
      <c r="K28" s="111"/>
    </row>
    <row r="29" spans="1:15" ht="15" customHeight="1" outlineLevel="1">
      <c r="B29" s="9"/>
      <c r="C29" s="9"/>
      <c r="D29" s="110"/>
      <c r="E29" s="110"/>
      <c r="F29" s="110"/>
      <c r="G29" s="110"/>
      <c r="H29" s="110"/>
      <c r="I29" s="110"/>
      <c r="J29" s="110"/>
      <c r="K29" s="110"/>
    </row>
    <row r="30" spans="1:15" ht="15" customHeight="1">
      <c r="G30" s="97"/>
      <c r="H30" s="97"/>
      <c r="I30" s="97"/>
      <c r="J30" s="97"/>
      <c r="K30" s="97"/>
    </row>
    <row r="31" spans="1:15" s="12" customFormat="1" ht="15" customHeight="1">
      <c r="A31" s="12" t="s">
        <v>0</v>
      </c>
      <c r="B31" s="29" t="s">
        <v>4</v>
      </c>
      <c r="C31" s="29"/>
      <c r="D31" s="29"/>
      <c r="E31" s="29"/>
      <c r="F31" s="29"/>
      <c r="G31" s="29"/>
      <c r="H31" s="29"/>
      <c r="I31" s="29"/>
      <c r="J31" s="29"/>
      <c r="K31" s="29"/>
    </row>
    <row r="32" spans="1:15" s="12" customFormat="1" ht="15" customHeight="1" outlineLevel="1"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6" s="108" customFormat="1" ht="15" customHeight="1" outlineLevel="1" thickBot="1">
      <c r="A33" s="109"/>
      <c r="B33" s="24" t="s">
        <v>15</v>
      </c>
      <c r="C33" s="24"/>
      <c r="D33" s="26">
        <f t="shared" ref="D33:K33" si="3">+D$5</f>
        <v>-2</v>
      </c>
      <c r="E33" s="26">
        <f t="shared" si="3"/>
        <v>-1</v>
      </c>
      <c r="F33" s="26">
        <f t="shared" si="3"/>
        <v>0</v>
      </c>
      <c r="G33" s="25">
        <f t="shared" si="3"/>
        <v>1</v>
      </c>
      <c r="H33" s="25">
        <f t="shared" si="3"/>
        <v>2</v>
      </c>
      <c r="I33" s="25">
        <f t="shared" si="3"/>
        <v>3</v>
      </c>
      <c r="J33" s="25">
        <f t="shared" si="3"/>
        <v>4</v>
      </c>
      <c r="K33" s="25">
        <f t="shared" si="3"/>
        <v>5</v>
      </c>
      <c r="L33" s="109"/>
      <c r="M33" s="109"/>
      <c r="N33" s="109"/>
      <c r="O33" s="109"/>
      <c r="P33" s="109"/>
    </row>
    <row r="34" spans="1:16" ht="15" customHeight="1" outlineLevel="1" thickBot="1">
      <c r="B34" s="17"/>
      <c r="C34" s="17"/>
      <c r="G34" s="97"/>
      <c r="H34" s="97"/>
      <c r="I34" s="97"/>
      <c r="J34" s="97"/>
      <c r="K34" s="97"/>
      <c r="M34" s="137" t="s">
        <v>107</v>
      </c>
      <c r="N34" s="136" t="s">
        <v>106</v>
      </c>
      <c r="O34" s="135" t="s">
        <v>105</v>
      </c>
    </row>
    <row r="35" spans="1:16" ht="15" customHeight="1" outlineLevel="1">
      <c r="B35" s="15" t="s">
        <v>90</v>
      </c>
      <c r="C35" s="15"/>
      <c r="D35" s="86">
        <v>81422</v>
      </c>
      <c r="E35" s="86">
        <v>86698</v>
      </c>
      <c r="F35" s="86">
        <v>93085.92</v>
      </c>
      <c r="G35" s="16">
        <f>Model!F32*(1+Model!G10)</f>
        <v>375702.08</v>
      </c>
      <c r="H35" s="16">
        <f>Model!G32*(1+Model!H10)</f>
        <v>390730.16320000001</v>
      </c>
      <c r="I35" s="16">
        <f>Model!H32*(1+Model!I10)</f>
        <v>406359.36972800002</v>
      </c>
      <c r="J35" s="16">
        <f>Model!I32*(1+Model!J10)</f>
        <v>422613.74451712001</v>
      </c>
      <c r="K35" s="16">
        <f>Model!J32*(1+Model!K10)</f>
        <v>439518.29429780482</v>
      </c>
      <c r="M35" s="129">
        <f>SUM(Model!G32:K32)</f>
        <v>2034923.6517429249</v>
      </c>
      <c r="N35" s="128">
        <f>SUM(G35:K35)</f>
        <v>2034923.6517429249</v>
      </c>
      <c r="O35" s="127" cm="1">
        <f t="array" ref="O35">IF(SUM(ISBLANK(Model!G32:K32)*1)&gt;0,0,IF(M35=N35,1,0))</f>
        <v>1</v>
      </c>
    </row>
    <row r="36" spans="1:16" ht="15" customHeight="1" outlineLevel="1">
      <c r="B36" s="15" t="s">
        <v>49</v>
      </c>
      <c r="C36" s="15"/>
      <c r="D36" s="107">
        <v>-38121</v>
      </c>
      <c r="E36" s="107">
        <v>-37756</v>
      </c>
      <c r="F36" s="107">
        <v>-39638.663999999997</v>
      </c>
      <c r="G36" s="48">
        <f>(1-Model!G11)*Model!G32*-1</f>
        <v>-134803.87075546797</v>
      </c>
      <c r="H36" s="48">
        <f>(1-Model!H11)*Model!H32*-1</f>
        <v>-140196.02558568667</v>
      </c>
      <c r="I36" s="48">
        <f>(1-Model!I11)*Model!I32*-1</f>
        <v>-145803.86660911413</v>
      </c>
      <c r="J36" s="48">
        <f>(1-Model!J11)*Model!J32*-1</f>
        <v>-151636.02127347872</v>
      </c>
      <c r="K36" s="48">
        <f>(1-Model!K11)*Model!K32*-1</f>
        <v>-157701.46212441786</v>
      </c>
      <c r="M36" s="129">
        <f>SUM(Model!G33:K33)</f>
        <v>-730141.24634816544</v>
      </c>
      <c r="N36" s="128">
        <f>SUM(G36:K36)</f>
        <v>-730141.24634816544</v>
      </c>
      <c r="O36" s="127" cm="1">
        <f t="array" ref="O36">IF(SUM(ISBLANK(Model!G33:K33)*1)&gt;0,0,IF(M36=N36,1,0))</f>
        <v>1</v>
      </c>
    </row>
    <row r="37" spans="1:16" ht="15" customHeight="1" outlineLevel="1">
      <c r="B37" s="34" t="s">
        <v>89</v>
      </c>
      <c r="C37" s="34"/>
      <c r="D37" s="32">
        <f>SUM(Model!D32:D33)</f>
        <v>222249</v>
      </c>
      <c r="E37" s="32">
        <f>SUM(Model!E32:E33)</f>
        <v>228529</v>
      </c>
      <c r="F37" s="32">
        <f>SUM(Model!F32:F33)</f>
        <v>235031</v>
      </c>
      <c r="G37" s="32">
        <f>SUM(Model!G32:G33)</f>
        <v>240898.20924453204</v>
      </c>
      <c r="H37" s="32">
        <f>SUM(Model!H32:H33)</f>
        <v>250534.13761431334</v>
      </c>
      <c r="I37" s="32">
        <f>SUM(Model!I32:I33)</f>
        <v>260555.50311888588</v>
      </c>
      <c r="J37" s="32">
        <f>SUM(Model!J32:J33)</f>
        <v>270977.72324364132</v>
      </c>
      <c r="K37" s="32">
        <f>SUM(Model!K32:K33)</f>
        <v>281816.83217338694</v>
      </c>
      <c r="M37" s="126">
        <f>SUM(Model!D34:K34)</f>
        <v>1990591.4053947595</v>
      </c>
      <c r="N37" s="125">
        <f>SUM(D37:K37)</f>
        <v>1990591.4053947595</v>
      </c>
      <c r="O37" s="124" cm="1">
        <f t="array" ref="O37">IF(SUM(ISBLANK(Model!D34:K34)*1)&gt;0,0,IF(M37=N37,1,0))</f>
        <v>1</v>
      </c>
    </row>
    <row r="38" spans="1:16" ht="15" customHeight="1" outlineLevel="1">
      <c r="B38" s="34"/>
      <c r="C38" s="34"/>
      <c r="D38" s="31"/>
      <c r="E38" s="31"/>
      <c r="F38" s="31"/>
      <c r="G38" s="31"/>
      <c r="H38" s="31"/>
      <c r="I38" s="31"/>
      <c r="J38" s="31"/>
      <c r="K38" s="31"/>
    </row>
    <row r="39" spans="1:16" ht="15" customHeight="1" outlineLevel="1">
      <c r="B39" s="15" t="s">
        <v>88</v>
      </c>
      <c r="C39" s="15"/>
      <c r="D39" s="107">
        <v>-5884</v>
      </c>
      <c r="E39" s="107">
        <v>-6421</v>
      </c>
      <c r="F39" s="107">
        <v>-6166.0144</v>
      </c>
      <c r="G39" s="48">
        <f>Model!G32*Model!G12*-1</f>
        <v>-89418.564961830169</v>
      </c>
      <c r="H39" s="48">
        <f>Model!H32*Model!H12*-1</f>
        <v>-92995.307560303365</v>
      </c>
      <c r="I39" s="48">
        <f>Model!I32*Model!I12*-1</f>
        <v>-96715.11986271551</v>
      </c>
      <c r="J39" s="48">
        <f>Model!J32*Model!J12*-1</f>
        <v>-100583.72465722413</v>
      </c>
      <c r="K39" s="48">
        <f>Model!K32*Model!K12*-1</f>
        <v>-104607.0736435131</v>
      </c>
      <c r="M39" s="132">
        <f>SUM(Model!G36:K36)</f>
        <v>-484319.79068558622</v>
      </c>
      <c r="N39" s="131">
        <f>SUM(G39:K39)</f>
        <v>-484319.79068558622</v>
      </c>
      <c r="O39" s="130" cm="1">
        <f t="array" ref="O39">IF(SUM(ISBLANK(Model!G36:K36)*1)&gt;0,0,IF(M39=N39,1,0))</f>
        <v>1</v>
      </c>
    </row>
    <row r="40" spans="1:16" ht="15" customHeight="1" outlineLevel="1">
      <c r="B40" s="15" t="s">
        <v>87</v>
      </c>
      <c r="C40" s="15"/>
      <c r="D40" s="107">
        <v>-23507</v>
      </c>
      <c r="E40" s="107">
        <v>-26569</v>
      </c>
      <c r="F40" s="107">
        <v>-30830.072</v>
      </c>
      <c r="G40" s="48" t="e">
        <f>-Model!#REF!</f>
        <v>#REF!</v>
      </c>
      <c r="H40" s="48" t="e">
        <f>-Model!#REF!</f>
        <v>#REF!</v>
      </c>
      <c r="I40" s="48" t="e">
        <f>-Model!#REF!</f>
        <v>#REF!</v>
      </c>
      <c r="J40" s="48" t="e">
        <f>-Model!#REF!</f>
        <v>#REF!</v>
      </c>
      <c r="K40" s="48" t="e">
        <f>-Model!#REF!</f>
        <v>#REF!</v>
      </c>
      <c r="M40" s="129" t="e">
        <f>SUM(Model!#REF!)</f>
        <v>#REF!</v>
      </c>
      <c r="N40" s="128" t="e">
        <f>SUM(G40:K40)</f>
        <v>#REF!</v>
      </c>
      <c r="O40" s="127" t="e" cm="1">
        <f t="array" ref="O40">IF(SUM(ISBLANK(Model!#REF!)*1)&gt;0,0,IF(M40=N40,1,0))</f>
        <v>#REF!</v>
      </c>
    </row>
    <row r="41" spans="1:16" ht="15" customHeight="1" outlineLevel="1">
      <c r="B41" s="15" t="s">
        <v>86</v>
      </c>
      <c r="C41" s="15"/>
      <c r="D41" s="107">
        <v>-1764</v>
      </c>
      <c r="E41" s="107">
        <v>-1931</v>
      </c>
      <c r="F41" s="107">
        <v>-2025.9761599999999</v>
      </c>
      <c r="G41" s="48" t="e">
        <f>Model!#REF!*Model!G32*-1</f>
        <v>#REF!</v>
      </c>
      <c r="H41" s="48" t="e">
        <f>Model!#REF!*Model!H32*-1</f>
        <v>#REF!</v>
      </c>
      <c r="I41" s="48" t="e">
        <f>Model!#REF!*Model!I32*-1</f>
        <v>#REF!</v>
      </c>
      <c r="J41" s="48" t="e">
        <f>Model!#REF!*Model!J32*-1</f>
        <v>#REF!</v>
      </c>
      <c r="K41" s="48" t="e">
        <f>Model!#REF!*Model!K32*-1</f>
        <v>#REF!</v>
      </c>
      <c r="M41" s="129" t="e">
        <f>SUM(Model!#REF!)</f>
        <v>#REF!</v>
      </c>
      <c r="N41" s="128" t="e">
        <f>SUM(G41:K41)</f>
        <v>#REF!</v>
      </c>
      <c r="O41" s="127" t="e" cm="1">
        <f t="array" ref="O41">IF(SUM(ISBLANK(Model!#REF!)*1)&gt;0,0,IF(M41=N41,1,0))</f>
        <v>#REF!</v>
      </c>
    </row>
    <row r="42" spans="1:16" ht="15" customHeight="1" outlineLevel="1">
      <c r="B42" s="15" t="s">
        <v>66</v>
      </c>
      <c r="C42" s="15"/>
      <c r="D42" s="107">
        <v>-2960</v>
      </c>
      <c r="E42" s="107">
        <v>-2803</v>
      </c>
      <c r="F42" s="107">
        <v>-2906.83536</v>
      </c>
      <c r="G42" s="48" t="e">
        <f>Model!#REF!</f>
        <v>#REF!</v>
      </c>
      <c r="H42" s="48" t="e">
        <f>Model!#REF!</f>
        <v>#REF!</v>
      </c>
      <c r="I42" s="48" t="e">
        <f>Model!#REF!</f>
        <v>#REF!</v>
      </c>
      <c r="J42" s="48" t="e">
        <f>Model!#REF!</f>
        <v>#REF!</v>
      </c>
      <c r="K42" s="48" t="e">
        <f>Model!#REF!</f>
        <v>#REF!</v>
      </c>
      <c r="M42" s="129">
        <f>SUM(Model!G37:K37)</f>
        <v>-474829.58385525213</v>
      </c>
      <c r="N42" s="128" t="e">
        <f>SUM(G42:K42)</f>
        <v>#REF!</v>
      </c>
      <c r="O42" s="127" t="e" cm="1">
        <f t="array" ref="O42">IF(SUM(ISBLANK(Model!G37:K37)*1)&gt;0,0,IF(M42=N42,1,0))</f>
        <v>#REF!</v>
      </c>
    </row>
    <row r="43" spans="1:16" ht="15" customHeight="1" outlineLevel="1">
      <c r="B43" s="34" t="s">
        <v>85</v>
      </c>
      <c r="C43" s="34"/>
      <c r="D43" s="32">
        <f>SUM(Model!D34:D37)</f>
        <v>50223</v>
      </c>
      <c r="E43" s="32">
        <f>SUM(Model!E34:E37)</f>
        <v>63466</v>
      </c>
      <c r="F43" s="32">
        <f>SUM(Model!F34:F37)</f>
        <v>68316</v>
      </c>
      <c r="G43" s="32">
        <f>SUM(Model!G34:G37)</f>
        <v>63813.228814408198</v>
      </c>
      <c r="H43" s="32">
        <f>SUM(Model!H34:H37)</f>
        <v>66365.757966984529</v>
      </c>
      <c r="I43" s="32">
        <f>SUM(Model!I34:I37)</f>
        <v>69020.38828566391</v>
      </c>
      <c r="J43" s="32">
        <f>SUM(Model!J34:J37)</f>
        <v>71781.203817090456</v>
      </c>
      <c r="K43" s="32">
        <f>SUM(Model!K34:K37)</f>
        <v>74652.451969774062</v>
      </c>
      <c r="M43" s="126">
        <f>SUM(Model!D38:K38)</f>
        <v>527638.0308539212</v>
      </c>
      <c r="N43" s="125">
        <f>SUM(D43:K43)</f>
        <v>527638.0308539212</v>
      </c>
      <c r="O43" s="124" cm="1">
        <f t="array" ref="O43">IF(SUM(ISBLANK(Model!D38:K38)*1)&gt;0,0,IF(M43=N43,1,0))</f>
        <v>1</v>
      </c>
    </row>
    <row r="44" spans="1:16" ht="15" customHeight="1" outlineLevel="1">
      <c r="B44" s="34"/>
      <c r="C44" s="34"/>
      <c r="D44" s="31"/>
      <c r="E44" s="31"/>
      <c r="F44" s="31"/>
      <c r="G44" s="31"/>
      <c r="H44" s="31"/>
      <c r="I44" s="31"/>
      <c r="J44" s="31"/>
      <c r="K44" s="31"/>
    </row>
    <row r="45" spans="1:16" ht="15" customHeight="1" outlineLevel="1">
      <c r="B45" s="15" t="s">
        <v>84</v>
      </c>
      <c r="C45" s="15"/>
      <c r="D45" s="86">
        <v>-1240</v>
      </c>
      <c r="E45" s="86">
        <v>-1240</v>
      </c>
      <c r="F45" s="86">
        <v>-1240</v>
      </c>
      <c r="G45" s="16">
        <f>-Model!G163</f>
        <v>13738.100890598102</v>
      </c>
      <c r="H45" s="16">
        <f>-Model!H163</f>
        <v>8732.1670827307389</v>
      </c>
      <c r="I45" s="16">
        <f>-Model!I163</f>
        <v>8732.1670827307389</v>
      </c>
      <c r="J45" s="16">
        <f>-Model!J163</f>
        <v>8732.1670827307389</v>
      </c>
      <c r="K45" s="16">
        <f>-Model!K163</f>
        <v>8732.1670827307389</v>
      </c>
      <c r="M45" s="132">
        <f>SUM(Model!G40:K40)</f>
        <v>-48666.769221521055</v>
      </c>
      <c r="N45" s="131">
        <f>SUM(G45:K45)</f>
        <v>48666.769221521055</v>
      </c>
      <c r="O45" s="130" cm="1">
        <f t="array" ref="O45">IF(SUM(ISBLANK(Model!G40:K40)*1)&gt;0,0,IF(M45=N45,1,0))</f>
        <v>0</v>
      </c>
    </row>
    <row r="46" spans="1:16" ht="15" customHeight="1" outlineLevel="1">
      <c r="B46" s="15" t="s">
        <v>83</v>
      </c>
      <c r="C46" s="15"/>
      <c r="D46" s="106">
        <f>Model!D38+Model!D40</f>
        <v>62800</v>
      </c>
      <c r="E46" s="106">
        <f>Model!E38+Model!E40</f>
        <v>62734</v>
      </c>
      <c r="F46" s="106">
        <f>Model!F38+Model!F40</f>
        <v>58128</v>
      </c>
      <c r="G46" s="106">
        <f>Model!G38+Model!G40</f>
        <v>50075.127923810098</v>
      </c>
      <c r="H46" s="106">
        <f>Model!H38+Model!H40</f>
        <v>57633.59088425379</v>
      </c>
      <c r="I46" s="106">
        <f>Model!I38+Model!I40</f>
        <v>60288.221202933171</v>
      </c>
      <c r="J46" s="106">
        <f>Model!J38+Model!J40</f>
        <v>63049.036734359717</v>
      </c>
      <c r="K46" s="106">
        <f>Model!K38+Model!K40</f>
        <v>65920.284887043323</v>
      </c>
      <c r="M46" s="126">
        <f>SUM(Model!D41:K41)</f>
        <v>480628.2616324001</v>
      </c>
      <c r="N46" s="125">
        <f>SUM(D46:K46)</f>
        <v>480628.2616324001</v>
      </c>
      <c r="O46" s="124" cm="1">
        <f t="array" ref="O46">IF(SUM(ISBLANK(Model!D41:K41)*1)&gt;0,0,IF(M46=N46,1,0))</f>
        <v>1</v>
      </c>
    </row>
    <row r="47" spans="1:16" ht="15" customHeight="1" outlineLevel="1">
      <c r="B47" s="15"/>
      <c r="C47" s="15"/>
      <c r="D47" s="105"/>
      <c r="E47" s="105"/>
      <c r="F47" s="105"/>
      <c r="G47" s="105"/>
      <c r="H47" s="105"/>
      <c r="I47" s="105"/>
      <c r="J47" s="105"/>
      <c r="K47" s="105"/>
    </row>
    <row r="48" spans="1:16" ht="15" customHeight="1" outlineLevel="1">
      <c r="B48" s="15" t="s">
        <v>48</v>
      </c>
      <c r="C48" s="15"/>
      <c r="D48" s="86">
        <v>-2761</v>
      </c>
      <c r="E48" s="86">
        <v>-2429</v>
      </c>
      <c r="F48" s="86">
        <v>-1570.1652240000001</v>
      </c>
      <c r="G48" s="16">
        <f>Model!G41*Model!G15*-1</f>
        <v>-14521.787097904928</v>
      </c>
      <c r="H48" s="16">
        <f>Model!H41*Model!H15*-1</f>
        <v>-16713.741356433598</v>
      </c>
      <c r="I48" s="16">
        <f>Model!I41*Model!I15*-1</f>
        <v>-17483.584148850619</v>
      </c>
      <c r="J48" s="16">
        <f>Model!J41*Model!J15*-1</f>
        <v>-18284.220652964315</v>
      </c>
      <c r="K48" s="16">
        <f>Model!K41*Model!K15*-1</f>
        <v>-19116.882617242562</v>
      </c>
      <c r="M48" s="132">
        <f>SUM(Model!G43:K43)</f>
        <v>-86120.215873396024</v>
      </c>
      <c r="N48" s="131">
        <f>SUM(G48:K48)</f>
        <v>-86120.215873396024</v>
      </c>
      <c r="O48" s="130" cm="1">
        <f t="array" ref="O48">IF(SUM(ISBLANK(Model!G43:K43)*1)&gt;0,0,IF(M48=N48,1,0))</f>
        <v>1</v>
      </c>
    </row>
    <row r="49" spans="1:15" ht="15" customHeight="1" outlineLevel="1" thickBot="1">
      <c r="B49" s="34" t="s">
        <v>11</v>
      </c>
      <c r="C49" s="34"/>
      <c r="D49" s="85">
        <f>Model!D41+Model!D43</f>
        <v>44032</v>
      </c>
      <c r="E49" s="85">
        <f>Model!E41+Model!E43</f>
        <v>45749</v>
      </c>
      <c r="F49" s="85">
        <f>Model!F41+Model!F43</f>
        <v>41459</v>
      </c>
      <c r="G49" s="85">
        <f>Model!G41+Model!G43</f>
        <v>35553.340825905172</v>
      </c>
      <c r="H49" s="85">
        <f>Model!H41+Model!H43</f>
        <v>40919.849527820188</v>
      </c>
      <c r="I49" s="85">
        <f>Model!I41+Model!I43</f>
        <v>42804.637054082552</v>
      </c>
      <c r="J49" s="85">
        <f>Model!J41+Model!J43</f>
        <v>44764.816081395402</v>
      </c>
      <c r="K49" s="85">
        <f>Model!K41+Model!K43</f>
        <v>46803.402269800761</v>
      </c>
      <c r="M49" s="126">
        <f>SUM(Model!D44:K44)</f>
        <v>342086.04575900408</v>
      </c>
      <c r="N49" s="125">
        <f>SUM(D49:K49)</f>
        <v>342086.04575900408</v>
      </c>
      <c r="O49" s="124" cm="1">
        <f t="array" ref="O49">IF(SUM(ISBLANK(Model!D44:K44)*1)&gt;0,0,IF(M49=N49,1,0))</f>
        <v>1</v>
      </c>
    </row>
    <row r="50" spans="1:15" ht="15" customHeight="1" outlineLevel="1">
      <c r="B50" s="17"/>
      <c r="C50" s="17"/>
      <c r="D50" s="104"/>
      <c r="E50" s="104"/>
      <c r="F50" s="104"/>
      <c r="G50" s="49"/>
      <c r="H50" s="49"/>
      <c r="I50" s="49"/>
      <c r="J50" s="49"/>
      <c r="K50" s="49"/>
    </row>
    <row r="51" spans="1:15" ht="15" customHeight="1" outlineLevel="1">
      <c r="B51" s="8" t="s">
        <v>82</v>
      </c>
      <c r="D51" s="86">
        <v>4312</v>
      </c>
      <c r="E51" s="86">
        <v>4209</v>
      </c>
      <c r="F51" s="86">
        <v>2930.9750848000026</v>
      </c>
      <c r="G51" s="16">
        <f>Model!G44*Model!G24</f>
        <v>29258.311715976695</v>
      </c>
      <c r="H51" s="16">
        <f>Model!H44*Model!H24</f>
        <v>33674.633242439981</v>
      </c>
      <c r="I51" s="16">
        <f>Model!I44*Model!I24</f>
        <v>35225.702696975968</v>
      </c>
      <c r="J51" s="16">
        <f>Model!J44*Model!J24</f>
        <v>36838.814929693392</v>
      </c>
      <c r="K51" s="16">
        <f>Model!K44*Model!K24</f>
        <v>38516.451651719508</v>
      </c>
      <c r="M51" s="144">
        <f>SUM(Model!G46:K46)</f>
        <v>173513.91423680555</v>
      </c>
      <c r="N51" s="143">
        <f>SUM(G51:K51)</f>
        <v>173513.91423680555</v>
      </c>
      <c r="O51" s="138" cm="1">
        <f t="array" ref="O51">IF(SUM(ISBLANK(Model!G46:K46)*1)&gt;0,0,IF(M51=N51,1,0))</f>
        <v>1</v>
      </c>
    </row>
    <row r="52" spans="1:15" ht="15" customHeight="1" outlineLevel="1">
      <c r="D52" s="86"/>
      <c r="E52" s="86"/>
      <c r="F52" s="86"/>
      <c r="G52" s="47"/>
      <c r="H52" s="47"/>
      <c r="I52" s="47"/>
      <c r="J52" s="47"/>
      <c r="K52" s="47"/>
    </row>
    <row r="53" spans="1:15" ht="15" customHeight="1" outlineLevel="1">
      <c r="B53" s="9"/>
      <c r="C53" s="9"/>
      <c r="D53" s="103"/>
      <c r="E53" s="103"/>
      <c r="F53" s="103"/>
      <c r="G53" s="102"/>
      <c r="H53" s="102"/>
      <c r="I53" s="102"/>
      <c r="J53" s="102"/>
      <c r="K53" s="102"/>
    </row>
    <row r="54" spans="1:15" ht="15" customHeight="1">
      <c r="G54" s="97"/>
      <c r="H54" s="97"/>
      <c r="I54" s="97"/>
      <c r="J54" s="97"/>
      <c r="K54" s="97"/>
    </row>
    <row r="55" spans="1:15" s="12" customFormat="1" ht="15" customHeight="1">
      <c r="A55" s="12" t="s">
        <v>0</v>
      </c>
      <c r="B55" s="29" t="s">
        <v>81</v>
      </c>
      <c r="C55" s="29"/>
      <c r="D55" s="29"/>
      <c r="E55" s="29"/>
      <c r="F55" s="29"/>
      <c r="G55" s="29"/>
      <c r="H55" s="29"/>
      <c r="I55" s="29"/>
      <c r="J55" s="29"/>
      <c r="K55" s="29"/>
    </row>
    <row r="56" spans="1:15" s="12" customFormat="1" ht="15" customHeight="1" outlineLevel="1"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pans="1:15" ht="15" customHeight="1" outlineLevel="1" thickBot="1">
      <c r="B57" s="24" t="s">
        <v>15</v>
      </c>
      <c r="C57" s="24"/>
      <c r="D57" s="26">
        <f t="shared" ref="D57:K57" si="4">+D$5</f>
        <v>-2</v>
      </c>
      <c r="E57" s="26">
        <f t="shared" si="4"/>
        <v>-1</v>
      </c>
      <c r="F57" s="26">
        <f t="shared" si="4"/>
        <v>0</v>
      </c>
      <c r="G57" s="25">
        <f t="shared" si="4"/>
        <v>1</v>
      </c>
      <c r="H57" s="25">
        <f t="shared" si="4"/>
        <v>2</v>
      </c>
      <c r="I57" s="25">
        <f t="shared" si="4"/>
        <v>3</v>
      </c>
      <c r="J57" s="25">
        <f t="shared" si="4"/>
        <v>4</v>
      </c>
      <c r="K57" s="25">
        <f t="shared" si="4"/>
        <v>5</v>
      </c>
    </row>
    <row r="58" spans="1:15" ht="15" customHeight="1" outlineLevel="1">
      <c r="B58" s="24"/>
      <c r="C58" s="24"/>
      <c r="D58" s="101"/>
      <c r="E58" s="101"/>
      <c r="F58" s="101"/>
      <c r="G58" s="100"/>
      <c r="H58" s="100"/>
      <c r="I58" s="100"/>
      <c r="J58" s="100"/>
      <c r="K58" s="100"/>
    </row>
    <row r="59" spans="1:15" ht="15" customHeight="1" outlineLevel="1" thickBot="1">
      <c r="B59" s="17" t="s">
        <v>80</v>
      </c>
      <c r="C59" s="17"/>
      <c r="D59" s="99"/>
      <c r="E59" s="99"/>
      <c r="F59" s="99"/>
      <c r="G59" s="97"/>
      <c r="H59" s="97"/>
      <c r="I59" s="97"/>
      <c r="J59" s="97"/>
      <c r="K59" s="97"/>
      <c r="M59" s="137" t="s">
        <v>107</v>
      </c>
      <c r="N59" s="136" t="s">
        <v>106</v>
      </c>
      <c r="O59" s="135" t="s">
        <v>105</v>
      </c>
    </row>
    <row r="60" spans="1:15" ht="15" customHeight="1" outlineLevel="1">
      <c r="B60" s="15" t="s">
        <v>79</v>
      </c>
      <c r="D60" s="16">
        <f>Model!D120</f>
        <v>64320</v>
      </c>
      <c r="E60" s="16">
        <f>Model!E120</f>
        <v>66878</v>
      </c>
      <c r="F60" s="16">
        <f>Model!F120</f>
        <v>64368</v>
      </c>
      <c r="G60" s="16">
        <f>Model!G120</f>
        <v>72269.079053068621</v>
      </c>
      <c r="H60" s="16">
        <f>Model!H120</f>
        <v>77998.06178061878</v>
      </c>
      <c r="I60" s="16">
        <f>Model!I120</f>
        <v>74470.741385730493</v>
      </c>
      <c r="J60" s="16">
        <f>Model!J120</f>
        <v>89500.94179288848</v>
      </c>
      <c r="K60" s="16">
        <f>Model!K120</f>
        <v>95916.247455574106</v>
      </c>
      <c r="M60" s="129">
        <f>SUM(Model!D55:K55)</f>
        <v>605721.07146788051</v>
      </c>
      <c r="N60" s="128">
        <f>SUM(D60:K60)</f>
        <v>605721.07146788051</v>
      </c>
      <c r="O60" s="127" cm="1">
        <f t="array" ref="O60">IF(SUM(ISBLANK(Model!D55:K55)*1)&gt;0,0,IF(M60=N60,1,0))</f>
        <v>1</v>
      </c>
    </row>
    <row r="61" spans="1:15" ht="15" customHeight="1" outlineLevel="1">
      <c r="B61" s="15" t="s">
        <v>42</v>
      </c>
      <c r="D61" s="86">
        <v>12685</v>
      </c>
      <c r="E61" s="86">
        <v>14074</v>
      </c>
      <c r="F61" s="86">
        <v>14721.208547945205</v>
      </c>
      <c r="G61" s="16">
        <f>Model!G138</f>
        <v>125406.61212724721</v>
      </c>
      <c r="H61" s="16">
        <f>Model!H138</f>
        <v>130422.87661233709</v>
      </c>
      <c r="I61" s="16">
        <f>Model!I138</f>
        <v>135639.79167683059</v>
      </c>
      <c r="J61" s="16">
        <f>Model!J138</f>
        <v>141065.38334390381</v>
      </c>
      <c r="K61" s="16">
        <f>Model!K138</f>
        <v>146707.99867765995</v>
      </c>
      <c r="M61" s="129">
        <f>SUM(Model!G56:K56)</f>
        <v>679242.66243797867</v>
      </c>
      <c r="N61" s="128">
        <f>SUM(G61:K61)</f>
        <v>679242.66243797867</v>
      </c>
      <c r="O61" s="127" cm="1">
        <f t="array" ref="O61">IF(SUM(ISBLANK(Model!G56:K56)*1)&gt;0,0,IF(M61=N61,1,0))</f>
        <v>1</v>
      </c>
    </row>
    <row r="62" spans="1:15" ht="15" customHeight="1" outlineLevel="1">
      <c r="B62" s="15" t="s">
        <v>64</v>
      </c>
      <c r="D62" s="86">
        <v>7168</v>
      </c>
      <c r="E62" s="86">
        <v>7691</v>
      </c>
      <c r="F62" s="86">
        <v>8036.3318794520546</v>
      </c>
      <c r="G62" s="16">
        <f>Model!G139</f>
        <v>12228.97202090867</v>
      </c>
      <c r="H62" s="16">
        <f>Model!H139</f>
        <v>12718.130901745015</v>
      </c>
      <c r="I62" s="16">
        <f>Model!I139</f>
        <v>13226.856137814815</v>
      </c>
      <c r="J62" s="16">
        <f>Model!J139</f>
        <v>13755.93038332741</v>
      </c>
      <c r="K62" s="16">
        <f>Model!K139</f>
        <v>14306.167598660506</v>
      </c>
      <c r="M62" s="129">
        <f>SUM(Model!G57:K57)</f>
        <v>66236.057042456421</v>
      </c>
      <c r="N62" s="128">
        <f>SUM(G62:K62)</f>
        <v>66236.057042456421</v>
      </c>
      <c r="O62" s="127" cm="1">
        <f t="array" ref="O62">IF(SUM(ISBLANK(Model!G57:K57)*1)&gt;0,0,IF(M62=N62,1,0))</f>
        <v>1</v>
      </c>
    </row>
    <row r="63" spans="1:15" ht="15" customHeight="1" outlineLevel="1">
      <c r="B63" s="15" t="s">
        <v>78</v>
      </c>
      <c r="D63" s="83">
        <f>SUM(Model!D55:D57)</f>
        <v>185095</v>
      </c>
      <c r="E63" s="83">
        <f>SUM(Model!E55:E57)</f>
        <v>201780</v>
      </c>
      <c r="F63" s="83">
        <f>SUM(Model!F55:F57)</f>
        <v>200801</v>
      </c>
      <c r="G63" s="83">
        <f>SUM(Model!G55:G57)</f>
        <v>209904.6632012245</v>
      </c>
      <c r="H63" s="83">
        <f>SUM(Model!H55:H57)</f>
        <v>221139.06929470089</v>
      </c>
      <c r="I63" s="83">
        <f>SUM(Model!I55:I57)</f>
        <v>223337.38920037588</v>
      </c>
      <c r="J63" s="83">
        <f>SUM(Model!J55:J57)</f>
        <v>244322.25552011971</v>
      </c>
      <c r="K63" s="83">
        <f>SUM(Model!K55:K57)</f>
        <v>256930.41373189457</v>
      </c>
      <c r="M63" s="126">
        <f>SUM(Model!D59:K59)</f>
        <v>1773357.7909483155</v>
      </c>
      <c r="N63" s="125">
        <f>SUM(D63:K63)</f>
        <v>1743309.7909483155</v>
      </c>
      <c r="O63" s="124" cm="1">
        <f t="array" ref="O63">IF(SUM(ISBLANK(Model!D59:K59)*1)&gt;0,0,IF(M63=N63,1,0))</f>
        <v>0</v>
      </c>
    </row>
    <row r="64" spans="1:15" ht="15" customHeight="1" outlineLevel="1">
      <c r="B64" s="34"/>
      <c r="C64" s="17"/>
      <c r="D64" s="87"/>
      <c r="E64" s="87"/>
      <c r="F64" s="87"/>
      <c r="G64" s="22"/>
      <c r="H64" s="22"/>
      <c r="I64" s="22"/>
      <c r="J64" s="22"/>
      <c r="K64" s="22"/>
    </row>
    <row r="65" spans="2:15" ht="15" customHeight="1" outlineLevel="1">
      <c r="B65" s="15" t="s">
        <v>77</v>
      </c>
      <c r="D65" s="86">
        <v>19262.999999999996</v>
      </c>
      <c r="E65" s="86">
        <v>20371</v>
      </c>
      <c r="F65" s="86">
        <v>21175.000000000004</v>
      </c>
      <c r="G65" s="16" t="e">
        <f>Model!#REF!</f>
        <v>#REF!</v>
      </c>
      <c r="H65" s="16" t="e">
        <f>Model!#REF!</f>
        <v>#REF!</v>
      </c>
      <c r="I65" s="16" t="e">
        <f>Model!#REF!</f>
        <v>#REF!</v>
      </c>
      <c r="J65" s="16" t="e">
        <f>Model!#REF!</f>
        <v>#REF!</v>
      </c>
      <c r="K65" s="16" t="e">
        <f>Model!#REF!</f>
        <v>#REF!</v>
      </c>
      <c r="M65" s="144">
        <f>SUM(Model!G61:K61)</f>
        <v>1448418.6255144035</v>
      </c>
      <c r="N65" s="143" t="e">
        <f>SUM(G65:K65)</f>
        <v>#REF!</v>
      </c>
      <c r="O65" s="138" t="e" cm="1">
        <f t="array" ref="O65">IF(SUM(ISBLANK(Model!G61:K61)*1)&gt;0,0,IF(M65=N65,1,0))</f>
        <v>#REF!</v>
      </c>
    </row>
    <row r="66" spans="2:15" ht="15" customHeight="1" outlineLevel="1">
      <c r="B66" s="15"/>
      <c r="D66" s="86"/>
      <c r="E66" s="86"/>
      <c r="F66" s="86"/>
      <c r="G66" s="47"/>
      <c r="H66" s="47"/>
      <c r="I66" s="47"/>
      <c r="J66" s="47"/>
      <c r="K66" s="47"/>
    </row>
    <row r="67" spans="2:15" ht="15" customHeight="1" outlineLevel="1" thickBot="1">
      <c r="B67" s="34" t="s">
        <v>76</v>
      </c>
      <c r="C67" s="17"/>
      <c r="D67" s="85">
        <f>Model!D59+Model!D61</f>
        <v>451448</v>
      </c>
      <c r="E67" s="85">
        <f>Model!E59+Model!E61</f>
        <v>493094</v>
      </c>
      <c r="F67" s="85">
        <f>Model!F59+Model!F61</f>
        <v>505807</v>
      </c>
      <c r="G67" s="85">
        <f>Model!G59+Model!G61</f>
        <v>498542.32986789115</v>
      </c>
      <c r="H67" s="85">
        <f>Model!H59+Model!H61</f>
        <v>516668.29151692311</v>
      </c>
      <c r="I67" s="85">
        <f>Model!I59+Model!I61</f>
        <v>519728.35216333886</v>
      </c>
      <c r="J67" s="85">
        <f>Model!J59+Model!J61</f>
        <v>537841.53947073699</v>
      </c>
      <c r="K67" s="85">
        <f>Model!K59+Model!K61</f>
        <v>552076.90344382869</v>
      </c>
      <c r="M67" s="144">
        <f>SUM(Model!D63:K63)</f>
        <v>6388167.700413336</v>
      </c>
      <c r="N67" s="143">
        <f>SUM(D67:K67)</f>
        <v>4075206.416462719</v>
      </c>
      <c r="O67" s="138" cm="1">
        <f t="array" ref="O67">IF(SUM(ISBLANK(Model!D63:K63)*1)&gt;0,0,IF(M67=N67,1,0))</f>
        <v>0</v>
      </c>
    </row>
    <row r="68" spans="2:15" ht="15" customHeight="1" outlineLevel="1">
      <c r="D68" s="87"/>
      <c r="E68" s="87"/>
      <c r="F68" s="87"/>
      <c r="G68" s="22"/>
      <c r="H68" s="22"/>
      <c r="I68" s="22"/>
      <c r="J68" s="22"/>
      <c r="K68" s="22"/>
    </row>
    <row r="69" spans="2:15" ht="15" customHeight="1" outlineLevel="1">
      <c r="B69" s="17" t="s">
        <v>75</v>
      </c>
      <c r="C69" s="17"/>
      <c r="D69" s="87"/>
      <c r="E69" s="87"/>
      <c r="F69" s="87"/>
      <c r="G69" s="22"/>
      <c r="H69" s="22"/>
      <c r="I69" s="22"/>
      <c r="J69" s="22"/>
      <c r="K69" s="22"/>
    </row>
    <row r="70" spans="2:15" ht="15" customHeight="1" outlineLevel="1">
      <c r="B70" s="15" t="s">
        <v>40</v>
      </c>
      <c r="D70" s="86">
        <v>10001</v>
      </c>
      <c r="E70" s="86">
        <v>10504</v>
      </c>
      <c r="F70" s="86">
        <v>11077.106104109589</v>
      </c>
      <c r="G70" s="16">
        <f>Model!G140</f>
        <v>128085.3007579627</v>
      </c>
      <c r="H70" s="16">
        <f>Model!H140</f>
        <v>133208.71278828118</v>
      </c>
      <c r="I70" s="16">
        <f>Model!I140</f>
        <v>138537.06129981243</v>
      </c>
      <c r="J70" s="16">
        <f>Model!J140</f>
        <v>144078.54375180494</v>
      </c>
      <c r="K70" s="16">
        <f>Model!K140</f>
        <v>149841.68550187713</v>
      </c>
      <c r="M70" s="132">
        <f>SUM(Model!G66:K66)</f>
        <v>693751.30409973837</v>
      </c>
      <c r="N70" s="131">
        <f>SUM(G70:K70)</f>
        <v>693751.30409973837</v>
      </c>
      <c r="O70" s="130" cm="1">
        <f t="array" ref="O70">IF(SUM(ISBLANK(Model!G66:K66)*1)&gt;0,0,IF(M70=N70,1,0))</f>
        <v>1</v>
      </c>
    </row>
    <row r="71" spans="2:15" ht="15" customHeight="1" outlineLevel="1">
      <c r="B71" s="15" t="s">
        <v>39</v>
      </c>
      <c r="D71" s="86">
        <v>1088</v>
      </c>
      <c r="E71" s="86">
        <v>894</v>
      </c>
      <c r="F71" s="86">
        <v>581</v>
      </c>
      <c r="G71" s="16">
        <f>Model!G141</f>
        <v>0</v>
      </c>
      <c r="H71" s="16">
        <f>Model!H141</f>
        <v>0</v>
      </c>
      <c r="I71" s="16">
        <f>Model!I141</f>
        <v>0</v>
      </c>
      <c r="J71" s="16">
        <f>Model!J141</f>
        <v>0</v>
      </c>
      <c r="K71" s="16">
        <f>Model!K141</f>
        <v>0</v>
      </c>
      <c r="M71" s="129">
        <f>SUM(Model!G67:K67)</f>
        <v>275830.62139917701</v>
      </c>
      <c r="N71" s="128">
        <f>SUM(G71:K71)</f>
        <v>0</v>
      </c>
      <c r="O71" s="127" cm="1">
        <f t="array" ref="O71">IF(SUM(ISBLANK(Model!G67:K67)*1)&gt;0,0,IF(M71=N71,1,0))</f>
        <v>0</v>
      </c>
    </row>
    <row r="72" spans="2:15" ht="15" customHeight="1" outlineLevel="1">
      <c r="B72" s="15" t="s">
        <v>74</v>
      </c>
      <c r="D72" s="83">
        <f>SUM(Model!D66:D67)</f>
        <v>158703</v>
      </c>
      <c r="E72" s="83">
        <f>SUM(Model!E66:E67)</f>
        <v>184801</v>
      </c>
      <c r="F72" s="83">
        <f>SUM(Model!F66:F67)</f>
        <v>179685</v>
      </c>
      <c r="G72" s="83">
        <f>SUM(Model!G66:G67)</f>
        <v>180929.63409129603</v>
      </c>
      <c r="H72" s="83">
        <f>SUM(Model!H66:H67)</f>
        <v>189645.15723272561</v>
      </c>
      <c r="I72" s="83">
        <f>SUM(Model!I66:I67)</f>
        <v>194319.3205590717</v>
      </c>
      <c r="J72" s="83">
        <f>SUM(Model!J66:J67)</f>
        <v>199099.55609748396</v>
      </c>
      <c r="K72" s="83">
        <f>SUM(Model!K66:K67)</f>
        <v>205588.25751833804</v>
      </c>
      <c r="M72" s="126">
        <f>SUM(Model!D68:K68)</f>
        <v>111447.8024691358</v>
      </c>
      <c r="N72" s="125">
        <f>SUM(D72:K72)</f>
        <v>1492770.9254989154</v>
      </c>
      <c r="O72" s="124" cm="1">
        <f t="array" ref="O72">IF(SUM(ISBLANK(Model!D68:K68)*1)&gt;0,0,IF(M72=N72,1,0))</f>
        <v>0</v>
      </c>
    </row>
    <row r="73" spans="2:15" ht="15" customHeight="1" outlineLevel="1">
      <c r="B73" s="34"/>
      <c r="C73" s="17"/>
      <c r="D73" s="87"/>
      <c r="E73" s="87"/>
      <c r="F73" s="87"/>
      <c r="G73" s="22"/>
      <c r="H73" s="22"/>
      <c r="I73" s="22"/>
      <c r="J73" s="22"/>
      <c r="K73" s="22"/>
    </row>
    <row r="74" spans="2:15" ht="15" customHeight="1" outlineLevel="1">
      <c r="B74" s="15" t="s">
        <v>73</v>
      </c>
      <c r="D74" s="86">
        <v>20000</v>
      </c>
      <c r="E74" s="86">
        <v>20000</v>
      </c>
      <c r="F74" s="86">
        <v>20000</v>
      </c>
      <c r="G74" s="16">
        <f>Model!G158</f>
        <v>33190</v>
      </c>
      <c r="H74" s="16">
        <f>Model!H158</f>
        <v>33190</v>
      </c>
      <c r="I74" s="16">
        <f>Model!I158</f>
        <v>33190</v>
      </c>
      <c r="J74" s="16">
        <f>Model!J158</f>
        <v>33190</v>
      </c>
      <c r="K74" s="16">
        <f>Model!K158</f>
        <v>33190</v>
      </c>
      <c r="L74" s="97"/>
      <c r="M74" s="132">
        <f>SUM(Model!G70:K70)</f>
        <v>546721.77366255154</v>
      </c>
      <c r="N74" s="131">
        <f>SUM(G74:K74)</f>
        <v>165950</v>
      </c>
      <c r="O74" s="130" cm="1">
        <f t="array" ref="O74">IF(SUM(ISBLANK(Model!G70:K70)*1)&gt;0,0,IF(M74=N74,1,0))</f>
        <v>0</v>
      </c>
    </row>
    <row r="75" spans="2:15" ht="15" customHeight="1" outlineLevel="1">
      <c r="B75" s="15" t="s">
        <v>72</v>
      </c>
      <c r="C75" s="64"/>
      <c r="D75" s="83">
        <f>Model!D68+Model!D70</f>
        <v>97524</v>
      </c>
      <c r="E75" s="83">
        <f>Model!E68+Model!E70</f>
        <v>166800</v>
      </c>
      <c r="F75" s="83">
        <f>Model!F68+Model!F70</f>
        <v>101348</v>
      </c>
      <c r="G75" s="83">
        <f>Model!G68+Model!G70</f>
        <v>121890.66666666667</v>
      </c>
      <c r="H75" s="83">
        <f>Model!H68+Model!H70</f>
        <v>130012.88888888891</v>
      </c>
      <c r="I75" s="83">
        <f>Model!I68+Model!I70</f>
        <v>117750.51851851853</v>
      </c>
      <c r="J75" s="83">
        <f>Model!J68+Model!J70</f>
        <v>123218.02469135803</v>
      </c>
      <c r="K75" s="83">
        <f>Model!K68+Model!K70</f>
        <v>123660.47736625515</v>
      </c>
      <c r="L75" s="97"/>
      <c r="M75" s="126">
        <f>SUM(Model!D71:K71)</f>
        <v>2527796.4399022073</v>
      </c>
      <c r="N75" s="125">
        <f>SUM(D75:K75)</f>
        <v>982204.57613168727</v>
      </c>
      <c r="O75" s="124" cm="1">
        <f t="array" ref="O75">IF(SUM(ISBLANK(Model!D71:K71)*1)&gt;0,0,IF(M75=N75,1,0))</f>
        <v>0</v>
      </c>
    </row>
    <row r="76" spans="2:15" ht="15" customHeight="1" outlineLevel="1">
      <c r="D76" s="86"/>
      <c r="E76" s="86"/>
      <c r="F76" s="86"/>
      <c r="G76" s="47"/>
      <c r="H76" s="47"/>
      <c r="I76" s="47"/>
      <c r="J76" s="47"/>
      <c r="K76" s="47"/>
      <c r="L76" s="97"/>
    </row>
    <row r="77" spans="2:15" ht="15" customHeight="1" outlineLevel="1">
      <c r="B77" s="17" t="s">
        <v>71</v>
      </c>
      <c r="C77" s="17"/>
      <c r="D77" s="87"/>
      <c r="E77" s="87"/>
      <c r="F77" s="87"/>
      <c r="G77" s="22"/>
      <c r="H77" s="22"/>
      <c r="I77" s="22"/>
      <c r="J77" s="22"/>
      <c r="K77" s="22"/>
    </row>
    <row r="78" spans="2:15" ht="15" customHeight="1" outlineLevel="1">
      <c r="B78" s="15" t="s">
        <v>23</v>
      </c>
      <c r="D78" s="86">
        <v>7627</v>
      </c>
      <c r="E78" s="86">
        <v>7627</v>
      </c>
      <c r="F78" s="86">
        <v>7627</v>
      </c>
      <c r="G78" s="16">
        <f>Model!G168</f>
        <v>250000</v>
      </c>
      <c r="H78" s="16">
        <f>Model!H168</f>
        <v>250000</v>
      </c>
      <c r="I78" s="16">
        <f>Model!I168</f>
        <v>250000</v>
      </c>
      <c r="J78" s="16">
        <f>Model!J168</f>
        <v>250000</v>
      </c>
      <c r="K78" s="16">
        <f>Model!K168</f>
        <v>250000</v>
      </c>
      <c r="M78" s="132">
        <f>SUM(Model!G78:K78)</f>
        <v>1250000</v>
      </c>
      <c r="N78" s="131">
        <f>SUM(G78:K78)</f>
        <v>1250000</v>
      </c>
      <c r="O78" s="130" cm="1">
        <f t="array" ref="O78">IF(SUM(ISBLANK(Model!G78:K78)*1)&gt;0,0,IF(M78=N78,1,0))</f>
        <v>1</v>
      </c>
    </row>
    <row r="79" spans="2:15" ht="15" customHeight="1" outlineLevel="1">
      <c r="B79" s="15" t="s">
        <v>70</v>
      </c>
      <c r="D79" s="86">
        <v>5689</v>
      </c>
      <c r="E79" s="86">
        <v>9029</v>
      </c>
      <c r="F79" s="86">
        <v>14806.217771200003</v>
      </c>
      <c r="G79" s="16">
        <f>Model!G177</f>
        <v>61268.02910992848</v>
      </c>
      <c r="H79" s="16">
        <f>Model!H177</f>
        <v>68513.245395308681</v>
      </c>
      <c r="I79" s="16">
        <f>Model!I177</f>
        <v>76092.179752415279</v>
      </c>
      <c r="J79" s="16">
        <f>Model!J177</f>
        <v>84018.180904117296</v>
      </c>
      <c r="K79" s="16">
        <f>Model!K177</f>
        <v>92305.131522198557</v>
      </c>
      <c r="M79" s="129">
        <f>SUM(Model!G79:K79)</f>
        <v>382196.76668396831</v>
      </c>
      <c r="N79" s="128">
        <f>SUM(G79:K79)</f>
        <v>382196.76668396831</v>
      </c>
      <c r="O79" s="127" cm="1">
        <f t="array" ref="O79">IF(SUM(ISBLANK(Model!G79:K79)*1)&gt;0,0,IF(M79=N79,1,0))</f>
        <v>1</v>
      </c>
    </row>
    <row r="80" spans="2:15" ht="15" customHeight="1" outlineLevel="1">
      <c r="B80" s="34" t="s">
        <v>69</v>
      </c>
      <c r="C80" s="17"/>
      <c r="D80" s="32">
        <f>SUM(Model!D78:D79)</f>
        <v>298390</v>
      </c>
      <c r="E80" s="32">
        <f>SUM(Model!E78:E79)</f>
        <v>304764</v>
      </c>
      <c r="F80" s="32">
        <f>SUM(Model!F78:F79)</f>
        <v>304972</v>
      </c>
      <c r="G80" s="32">
        <f>SUM(Model!G78:G79)</f>
        <v>311268.02910992847</v>
      </c>
      <c r="H80" s="32">
        <f>SUM(Model!H78:H79)</f>
        <v>318513.24539530871</v>
      </c>
      <c r="I80" s="32">
        <f>SUM(Model!I78:I79)</f>
        <v>326092.17975241528</v>
      </c>
      <c r="J80" s="32">
        <f>SUM(Model!J78:J79)</f>
        <v>334018.1809041173</v>
      </c>
      <c r="K80" s="32">
        <f>SUM(Model!K78:K79)</f>
        <v>342305.13152219856</v>
      </c>
      <c r="M80" s="126">
        <f>SUM(Model!D80:K80)</f>
        <v>2540322.7666839682</v>
      </c>
      <c r="N80" s="125">
        <f>SUM(D80:K80)</f>
        <v>2540322.7666839682</v>
      </c>
      <c r="O80" s="124" cm="1">
        <f t="array" ref="O80">IF(SUM(ISBLANK(Model!D80:K80)*1)&gt;0,0,IF(M80=N80,1,0))</f>
        <v>1</v>
      </c>
    </row>
    <row r="81" spans="1:15" ht="15" customHeight="1" outlineLevel="1">
      <c r="B81" s="34"/>
      <c r="C81" s="17"/>
      <c r="D81" s="31"/>
      <c r="E81" s="31"/>
      <c r="F81" s="31"/>
      <c r="G81" s="31"/>
      <c r="H81" s="31"/>
      <c r="I81" s="31"/>
      <c r="J81" s="31"/>
      <c r="K81" s="31"/>
    </row>
    <row r="82" spans="1:15" ht="15" customHeight="1" outlineLevel="1" thickBot="1">
      <c r="B82" s="34" t="s">
        <v>68</v>
      </c>
      <c r="D82" s="85">
        <f>Model!D71+Model!D80</f>
        <v>560871</v>
      </c>
      <c r="E82" s="85">
        <f>Model!E71+Model!E80</f>
        <v>662525</v>
      </c>
      <c r="F82" s="85">
        <f>Model!F71+Model!F80</f>
        <v>593175</v>
      </c>
      <c r="G82" s="85">
        <f>Model!G71+Model!G80</f>
        <v>620616.32986789115</v>
      </c>
      <c r="H82" s="85">
        <f>Model!H71+Model!H80</f>
        <v>644790.6248502566</v>
      </c>
      <c r="I82" s="85">
        <f>Model!I71+Model!I80</f>
        <v>644934.46327444992</v>
      </c>
      <c r="J82" s="85">
        <f>Model!J71+Model!J80</f>
        <v>662975.68761888519</v>
      </c>
      <c r="K82" s="85">
        <f>Model!K71+Model!K80</f>
        <v>678231.10097469296</v>
      </c>
      <c r="M82" s="144">
        <f>SUM(Model!D82:K82)</f>
        <v>6388167.700413336</v>
      </c>
      <c r="N82" s="143">
        <f>SUM(D82:K82)</f>
        <v>5068119.2065861756</v>
      </c>
      <c r="O82" s="138" cm="1">
        <f t="array" ref="O82">IF(SUM(ISBLANK(Model!D82:K82)*1)&gt;0,0,IF(M82=N82,1,0))</f>
        <v>0</v>
      </c>
    </row>
    <row r="83" spans="1:15" ht="15" customHeight="1" outlineLevel="1">
      <c r="B83" s="15"/>
      <c r="D83" s="22"/>
      <c r="E83" s="22"/>
      <c r="F83" s="22"/>
      <c r="G83" s="22"/>
      <c r="H83" s="22"/>
      <c r="I83" s="22"/>
      <c r="J83" s="22"/>
      <c r="K83" s="22"/>
    </row>
    <row r="84" spans="1:15" ht="15" customHeight="1" outlineLevel="1">
      <c r="B84" s="19" t="s">
        <v>67</v>
      </c>
      <c r="C84" s="93"/>
      <c r="D84" s="16">
        <f>Model!D63-Model!D82</f>
        <v>0</v>
      </c>
      <c r="E84" s="16">
        <f>Model!E63-Model!E82</f>
        <v>0</v>
      </c>
      <c r="F84" s="16">
        <f>Model!F63-Model!F82</f>
        <v>0</v>
      </c>
      <c r="G84" s="16">
        <f>Model!G63-Model!G82</f>
        <v>0</v>
      </c>
      <c r="H84" s="16">
        <f>Model!H63-Model!H82</f>
        <v>0</v>
      </c>
      <c r="I84" s="16">
        <f>Model!I63-Model!I82</f>
        <v>0</v>
      </c>
      <c r="J84" s="16">
        <f>Model!J63-Model!J82</f>
        <v>0</v>
      </c>
      <c r="K84" s="16">
        <f>Model!K63-Model!K82</f>
        <v>0</v>
      </c>
      <c r="M84" s="144">
        <f>SUM(Model!D84:K84)</f>
        <v>0</v>
      </c>
      <c r="N84" s="143">
        <f>SUM(D84:K84)</f>
        <v>0</v>
      </c>
      <c r="O84" s="138" cm="1">
        <f t="array" ref="O84">IF(SUM(ISBLANK(Model!D84:K84)*1)&gt;0,0,IF(M84=N84,1,0))</f>
        <v>1</v>
      </c>
    </row>
    <row r="85" spans="1:15" ht="15" customHeight="1" outlineLevel="1">
      <c r="B85" s="93"/>
      <c r="C85" s="93"/>
      <c r="D85" s="47"/>
      <c r="E85" s="47"/>
      <c r="F85" s="47"/>
      <c r="G85" s="47"/>
      <c r="H85" s="47"/>
      <c r="I85" s="47"/>
      <c r="J85" s="47"/>
      <c r="K85" s="47"/>
    </row>
    <row r="86" spans="1:15" ht="15" customHeight="1" outlineLevel="1">
      <c r="B86" s="92"/>
      <c r="C86" s="92"/>
      <c r="D86" s="50"/>
      <c r="E86" s="50"/>
      <c r="F86" s="50"/>
      <c r="G86" s="50"/>
      <c r="H86" s="50"/>
      <c r="I86" s="50"/>
      <c r="J86" s="50"/>
      <c r="K86" s="50"/>
    </row>
    <row r="87" spans="1:15" ht="15" customHeight="1">
      <c r="D87" s="22"/>
      <c r="E87" s="47"/>
      <c r="F87" s="47"/>
      <c r="G87" s="47"/>
      <c r="H87" s="47"/>
      <c r="I87" s="47"/>
      <c r="J87" s="47"/>
      <c r="K87" s="47"/>
    </row>
    <row r="88" spans="1:15" s="12" customFormat="1" ht="15" customHeight="1">
      <c r="A88" s="12" t="s">
        <v>0</v>
      </c>
      <c r="B88" s="29" t="s">
        <v>3</v>
      </c>
      <c r="C88" s="29"/>
      <c r="D88" s="29"/>
      <c r="E88" s="29"/>
      <c r="F88" s="29"/>
      <c r="G88" s="29"/>
      <c r="H88" s="29"/>
      <c r="I88" s="29"/>
      <c r="J88" s="29"/>
      <c r="K88" s="29"/>
    </row>
    <row r="89" spans="1:15" s="12" customFormat="1" ht="15" customHeight="1" outlineLevel="1">
      <c r="B89" s="28"/>
      <c r="C89" s="28"/>
      <c r="D89" s="27"/>
      <c r="E89" s="27"/>
      <c r="F89" s="27"/>
      <c r="G89" s="27"/>
      <c r="H89" s="27"/>
      <c r="I89" s="27"/>
      <c r="J89" s="27"/>
      <c r="K89" s="27"/>
    </row>
    <row r="90" spans="1:15" ht="15" customHeight="1" outlineLevel="1" thickBot="1">
      <c r="B90" s="24" t="s">
        <v>15</v>
      </c>
      <c r="C90" s="24"/>
      <c r="D90" s="26">
        <f t="shared" ref="D90:K90" si="5">+D$5</f>
        <v>-2</v>
      </c>
      <c r="E90" s="26">
        <f t="shared" si="5"/>
        <v>-1</v>
      </c>
      <c r="F90" s="26">
        <f t="shared" si="5"/>
        <v>0</v>
      </c>
      <c r="G90" s="25">
        <f t="shared" si="5"/>
        <v>1</v>
      </c>
      <c r="H90" s="25">
        <f t="shared" si="5"/>
        <v>2</v>
      </c>
      <c r="I90" s="25">
        <f t="shared" si="5"/>
        <v>3</v>
      </c>
      <c r="J90" s="25">
        <f t="shared" si="5"/>
        <v>4</v>
      </c>
      <c r="K90" s="25">
        <f t="shared" si="5"/>
        <v>5</v>
      </c>
    </row>
    <row r="91" spans="1:15" ht="15" customHeight="1" outlineLevel="1">
      <c r="B91" s="24"/>
      <c r="C91" s="24"/>
      <c r="D91" s="23"/>
      <c r="E91" s="23"/>
      <c r="F91" s="23"/>
      <c r="G91" s="23"/>
      <c r="H91" s="23"/>
      <c r="I91" s="23"/>
      <c r="J91" s="23"/>
      <c r="K91" s="23"/>
    </row>
    <row r="92" spans="1:15" ht="15" customHeight="1" outlineLevel="1" thickBot="1">
      <c r="B92" s="17" t="s">
        <v>63</v>
      </c>
      <c r="C92" s="17"/>
      <c r="D92" s="90"/>
      <c r="E92" s="90"/>
      <c r="F92" s="90"/>
      <c r="G92" s="89"/>
      <c r="H92" s="89"/>
      <c r="I92" s="89"/>
      <c r="J92" s="89"/>
      <c r="K92" s="89"/>
      <c r="M92" s="137" t="s">
        <v>107</v>
      </c>
      <c r="N92" s="136" t="s">
        <v>106</v>
      </c>
      <c r="O92" s="135" t="s">
        <v>105</v>
      </c>
    </row>
    <row r="93" spans="1:15" ht="15" customHeight="1" outlineLevel="1">
      <c r="B93" s="15" t="s">
        <v>11</v>
      </c>
      <c r="D93" s="16">
        <f>Model!D44</f>
        <v>44032</v>
      </c>
      <c r="E93" s="16">
        <f>Model!E44</f>
        <v>45749</v>
      </c>
      <c r="F93" s="16">
        <f>Model!F44</f>
        <v>41459</v>
      </c>
      <c r="G93" s="16">
        <f>Model!G44</f>
        <v>35553.340825905172</v>
      </c>
      <c r="H93" s="16">
        <f>Model!H44</f>
        <v>40919.849527820188</v>
      </c>
      <c r="I93" s="16">
        <f>Model!I44</f>
        <v>42804.637054082552</v>
      </c>
      <c r="J93" s="16">
        <f>Model!J44</f>
        <v>44764.816081395402</v>
      </c>
      <c r="K93" s="16">
        <f>Model!K44</f>
        <v>46803.402269800761</v>
      </c>
      <c r="M93" s="129">
        <f>SUM(Model!D93:K93)</f>
        <v>342086.04575900408</v>
      </c>
      <c r="N93" s="128">
        <f>SUM(D93:K93)</f>
        <v>342086.04575900408</v>
      </c>
      <c r="O93" s="127" cm="1">
        <f t="array" ref="O93">IF(SUM(ISBLANK(Model!D93:K93)*1)&gt;0,0,IF(M93=N93,1,0))</f>
        <v>1</v>
      </c>
    </row>
    <row r="94" spans="1:15" ht="15" customHeight="1" outlineLevel="1">
      <c r="B94" s="15" t="s">
        <v>66</v>
      </c>
      <c r="D94" s="16">
        <f>-Model!D37</f>
        <v>85687</v>
      </c>
      <c r="E94" s="16">
        <f>-Model!E37</f>
        <v>83000</v>
      </c>
      <c r="F94" s="16">
        <f>-Model!F37</f>
        <v>80700</v>
      </c>
      <c r="G94" s="16">
        <f>-Model!G37</f>
        <v>87666.415468293693</v>
      </c>
      <c r="H94" s="16">
        <f>-Model!H37</f>
        <v>91173.072087025444</v>
      </c>
      <c r="I94" s="16">
        <f>-Model!I37</f>
        <v>94819.994970506465</v>
      </c>
      <c r="J94" s="16">
        <f>-Model!J37</f>
        <v>98612.79476932672</v>
      </c>
      <c r="K94" s="16">
        <f>-Model!K37</f>
        <v>102557.30656009979</v>
      </c>
      <c r="M94" s="126">
        <f>SUM(Model!D94:K94)</f>
        <v>724216.58385525213</v>
      </c>
      <c r="N94" s="125">
        <f>SUM(D94:K94)</f>
        <v>724216.58385525213</v>
      </c>
      <c r="O94" s="124" cm="1">
        <f t="array" ref="O94">IF(SUM(ISBLANK(Model!D94:K94)*1)&gt;0,0,IF(M94=N94,1,0))</f>
        <v>1</v>
      </c>
    </row>
    <row r="95" spans="1:15" ht="15" customHeight="1" outlineLevel="1">
      <c r="B95" s="15" t="s">
        <v>65</v>
      </c>
      <c r="D95" s="87"/>
      <c r="E95" s="87"/>
      <c r="F95" s="87"/>
      <c r="G95" s="87"/>
      <c r="H95" s="87"/>
      <c r="I95" s="87"/>
      <c r="J95" s="87"/>
      <c r="K95" s="87"/>
    </row>
    <row r="96" spans="1:15" ht="15" customHeight="1" outlineLevel="1">
      <c r="B96" s="88" t="s">
        <v>42</v>
      </c>
      <c r="C96" s="15"/>
      <c r="D96" s="16">
        <f>Model!D143</f>
        <v>2606</v>
      </c>
      <c r="E96" s="16">
        <f>Model!E143</f>
        <v>-14368</v>
      </c>
      <c r="F96" s="16">
        <f>Model!F143</f>
        <v>-3391</v>
      </c>
      <c r="G96" s="16">
        <f>Model!G143</f>
        <v>743.38787275279174</v>
      </c>
      <c r="H96" s="16">
        <f>Model!H143</f>
        <v>-5016.2644850898796</v>
      </c>
      <c r="I96" s="16">
        <f>Model!I143</f>
        <v>-5216.9150644934998</v>
      </c>
      <c r="J96" s="16">
        <f>Model!J143</f>
        <v>-5425.5916670732258</v>
      </c>
      <c r="K96" s="16">
        <f>Model!K143</f>
        <v>-5642.6153337561409</v>
      </c>
      <c r="M96" s="132">
        <f>SUM(Model!D96:K96)</f>
        <v>-35710.998677659954</v>
      </c>
      <c r="N96" s="131">
        <f>SUM(D96:K96)</f>
        <v>-35710.998677659954</v>
      </c>
      <c r="O96" s="130" cm="1">
        <f t="array" ref="O96">IF(SUM(ISBLANK(Model!D96:K96)*1)&gt;0,0,IF(M96=N96,1,0))</f>
        <v>1</v>
      </c>
    </row>
    <row r="97" spans="2:15" ht="15" customHeight="1" outlineLevel="1">
      <c r="B97" s="88" t="s">
        <v>64</v>
      </c>
      <c r="C97" s="15"/>
      <c r="D97" s="16">
        <f>Model!D144</f>
        <v>-2224</v>
      </c>
      <c r="E97" s="16">
        <f>Model!E144</f>
        <v>241</v>
      </c>
      <c r="F97" s="16">
        <f>Model!F144</f>
        <v>1860</v>
      </c>
      <c r="G97" s="16">
        <f>Model!G144</f>
        <v>-1945.9720209086699</v>
      </c>
      <c r="H97" s="16">
        <f>Model!H144</f>
        <v>-489.15888083634491</v>
      </c>
      <c r="I97" s="16">
        <f>Model!I144</f>
        <v>-508.7252360698003</v>
      </c>
      <c r="J97" s="16">
        <f>Model!J144</f>
        <v>-529.07424551259464</v>
      </c>
      <c r="K97" s="16">
        <f>Model!K144</f>
        <v>-550.23721533309617</v>
      </c>
      <c r="M97" s="129">
        <f>SUM(Model!D97:K97)</f>
        <v>-4146.167598660506</v>
      </c>
      <c r="N97" s="128">
        <f>SUM(D97:K97)</f>
        <v>-4146.167598660506</v>
      </c>
      <c r="O97" s="127" cm="1">
        <f t="array" ref="O97">IF(SUM(ISBLANK(Model!D97:K97)*1)&gt;0,0,IF(M97=N97,1,0))</f>
        <v>1</v>
      </c>
    </row>
    <row r="98" spans="2:15" ht="15" customHeight="1" outlineLevel="1">
      <c r="B98" s="88" t="s">
        <v>40</v>
      </c>
      <c r="C98" s="15"/>
      <c r="D98" s="16">
        <f>Model!D145</f>
        <v>34057</v>
      </c>
      <c r="E98" s="16">
        <f>Model!E145</f>
        <v>9767</v>
      </c>
      <c r="F98" s="16">
        <f>Model!F145</f>
        <v>-4783</v>
      </c>
      <c r="G98" s="16">
        <f>Model!G145</f>
        <v>6466.300757962701</v>
      </c>
      <c r="H98" s="16">
        <f>Model!H145</f>
        <v>5123.4120303184754</v>
      </c>
      <c r="I98" s="16">
        <f>Model!I145</f>
        <v>5328.3485115312506</v>
      </c>
      <c r="J98" s="16">
        <f>Model!J145</f>
        <v>5541.4824519925169</v>
      </c>
      <c r="K98" s="16">
        <f>Model!K145</f>
        <v>5763.1417500721873</v>
      </c>
      <c r="M98" s="129">
        <f>SUM(Model!D98:K98)</f>
        <v>67263.685501877131</v>
      </c>
      <c r="N98" s="128">
        <f>SUM(D98:K98)</f>
        <v>67263.685501877131</v>
      </c>
      <c r="O98" s="127" cm="1">
        <f t="array" ref="O98">IF(SUM(ISBLANK(Model!D98:K98)*1)&gt;0,0,IF(M98=N98,1,0))</f>
        <v>1</v>
      </c>
    </row>
    <row r="99" spans="2:15" ht="15" customHeight="1" outlineLevel="1">
      <c r="B99" s="88" t="s">
        <v>39</v>
      </c>
      <c r="C99" s="15"/>
      <c r="D99" s="16" t="e">
        <f>Model!#REF!</f>
        <v>#REF!</v>
      </c>
      <c r="E99" s="16" t="e">
        <f>Model!#REF!</f>
        <v>#REF!</v>
      </c>
      <c r="F99" s="16" t="e">
        <f>Model!#REF!</f>
        <v>#REF!</v>
      </c>
      <c r="G99" s="16" t="e">
        <f>Model!#REF!</f>
        <v>#REF!</v>
      </c>
      <c r="H99" s="16" t="e">
        <f>Model!#REF!</f>
        <v>#REF!</v>
      </c>
      <c r="I99" s="16" t="e">
        <f>Model!#REF!</f>
        <v>#REF!</v>
      </c>
      <c r="J99" s="16" t="e">
        <f>Model!#REF!</f>
        <v>#REF!</v>
      </c>
      <c r="K99" s="16" t="e">
        <f>Model!#REF!</f>
        <v>#REF!</v>
      </c>
      <c r="M99" s="129" t="e">
        <f>SUM(Model!#REF!)</f>
        <v>#REF!</v>
      </c>
      <c r="N99" s="128" t="e">
        <f>SUM(D99:K99)</f>
        <v>#REF!</v>
      </c>
      <c r="O99" s="127" t="e" cm="1">
        <f t="array" ref="O99">IF(SUM(ISBLANK(Model!#REF!)*1)&gt;0,0,IF(M99=N99,1,0))</f>
        <v>#REF!</v>
      </c>
    </row>
    <row r="100" spans="2:15" ht="15" customHeight="1" outlineLevel="1">
      <c r="B100" s="15" t="s">
        <v>63</v>
      </c>
      <c r="D100" s="83">
        <f>SUM(Model!D93:D98)</f>
        <v>164158</v>
      </c>
      <c r="E100" s="83">
        <f>SUM(Model!E93:E98)</f>
        <v>124389</v>
      </c>
      <c r="F100" s="83">
        <f>SUM(Model!F93:F98)</f>
        <v>115845</v>
      </c>
      <c r="G100" s="83">
        <f>SUM(Model!G93:G98)</f>
        <v>128483.47290400568</v>
      </c>
      <c r="H100" s="83">
        <f>SUM(Model!H93:H98)</f>
        <v>131710.9102792379</v>
      </c>
      <c r="I100" s="83">
        <f>SUM(Model!I93:I98)</f>
        <v>137227.34023555697</v>
      </c>
      <c r="J100" s="83">
        <f>SUM(Model!J93:J98)</f>
        <v>142964.42739012881</v>
      </c>
      <c r="K100" s="83">
        <f>SUM(Model!K93:K98)</f>
        <v>148930.99803088349</v>
      </c>
      <c r="M100" s="126">
        <f>SUM(Model!D99:K99)</f>
        <v>-138542.21587339602</v>
      </c>
      <c r="N100" s="125">
        <f>SUM(D100:K100)</f>
        <v>1093709.1488398127</v>
      </c>
      <c r="O100" s="124" cm="1">
        <f t="array" ref="O100">IF(SUM(ISBLANK(Model!D99:K99)*1)&gt;0,0,IF(M100=N100,1,0))</f>
        <v>0</v>
      </c>
    </row>
    <row r="101" spans="2:15" ht="15" customHeight="1" outlineLevel="1">
      <c r="D101" s="87"/>
      <c r="E101" s="87"/>
      <c r="F101" s="87"/>
      <c r="G101" s="22"/>
      <c r="H101" s="22"/>
      <c r="I101" s="22"/>
      <c r="J101" s="22"/>
      <c r="K101" s="22"/>
    </row>
    <row r="102" spans="2:15" ht="15" customHeight="1" outlineLevel="1">
      <c r="B102" s="17" t="s">
        <v>62</v>
      </c>
      <c r="C102" s="17"/>
      <c r="D102" s="87"/>
      <c r="E102" s="87"/>
      <c r="F102" s="87"/>
      <c r="G102" s="22"/>
      <c r="H102" s="22"/>
      <c r="I102" s="22"/>
      <c r="J102" s="22"/>
      <c r="K102" s="22"/>
    </row>
    <row r="103" spans="2:15" ht="15" customHeight="1" outlineLevel="1">
      <c r="B103" s="15" t="s">
        <v>61</v>
      </c>
      <c r="D103" s="86">
        <v>-3004.9999999999973</v>
      </c>
      <c r="E103" s="86">
        <v>-3911.0000000000018</v>
      </c>
      <c r="F103" s="86">
        <v>-3710.8353600000046</v>
      </c>
      <c r="G103" s="16" t="e">
        <f>-Model!#REF!</f>
        <v>#REF!</v>
      </c>
      <c r="H103" s="16" t="e">
        <f>-Model!#REF!</f>
        <v>#REF!</v>
      </c>
      <c r="I103" s="16" t="e">
        <f>-Model!#REF!</f>
        <v>#REF!</v>
      </c>
      <c r="J103" s="16" t="e">
        <f>-Model!#REF!</f>
        <v>#REF!</v>
      </c>
      <c r="K103" s="16" t="e">
        <f>-Model!#REF!</f>
        <v>#REF!</v>
      </c>
      <c r="M103" s="132">
        <f>SUM(Model!G105:K105)</f>
        <v>-344446.50617283955</v>
      </c>
      <c r="N103" s="131" t="e">
        <f>SUM(G103:K103)</f>
        <v>#REF!</v>
      </c>
      <c r="O103" s="130" t="e" cm="1">
        <f t="array" ref="O103">IF(SUM(ISBLANK(Model!G105:K105)*1)&gt;0,0,IF(M103=N103,1,0))</f>
        <v>#REF!</v>
      </c>
    </row>
    <row r="104" spans="2:15" ht="15" customHeight="1" outlineLevel="1">
      <c r="B104" s="15" t="s">
        <v>60</v>
      </c>
      <c r="D104" s="83">
        <f>SUM(Model!D105)</f>
        <v>-68161</v>
      </c>
      <c r="E104" s="83">
        <f>SUM(Model!E105)</f>
        <v>-75317</v>
      </c>
      <c r="F104" s="83">
        <f>SUM(Model!F105)</f>
        <v>-64395</v>
      </c>
      <c r="G104" s="83">
        <f>SUM(Model!G105)</f>
        <v>-69291</v>
      </c>
      <c r="H104" s="83">
        <f>SUM(Model!H105)</f>
        <v>-69667.666666666672</v>
      </c>
      <c r="I104" s="83">
        <f>SUM(Model!I105)</f>
        <v>-67784.555555555562</v>
      </c>
      <c r="J104" s="83">
        <f>SUM(Model!J105)</f>
        <v>-68914.407407407416</v>
      </c>
      <c r="K104" s="83">
        <f>SUM(Model!K105)</f>
        <v>-68788.876543209888</v>
      </c>
      <c r="M104" s="126">
        <f>SUM(Model!D106:K106)</f>
        <v>16549.860082304527</v>
      </c>
      <c r="N104" s="125">
        <f>SUM(D104:K104)</f>
        <v>-552319.50617283955</v>
      </c>
      <c r="O104" s="124" cm="1">
        <f t="array" ref="O104">IF(SUM(ISBLANK(Model!D106:K106)*1)&gt;0,0,IF(M104=N104,1,0))</f>
        <v>0</v>
      </c>
    </row>
    <row r="105" spans="2:15" ht="15" customHeight="1" outlineLevel="1">
      <c r="D105" s="87"/>
      <c r="E105" s="87"/>
      <c r="F105" s="87"/>
      <c r="G105" s="22"/>
      <c r="H105" s="22"/>
      <c r="I105" s="22"/>
      <c r="J105" s="22"/>
      <c r="K105" s="22"/>
    </row>
    <row r="106" spans="2:15" ht="15" customHeight="1" outlineLevel="1">
      <c r="B106" s="17" t="s">
        <v>59</v>
      </c>
      <c r="C106" s="17"/>
      <c r="D106" s="87"/>
      <c r="E106" s="87"/>
      <c r="F106" s="87"/>
      <c r="G106" s="22"/>
      <c r="H106" s="22"/>
      <c r="I106" s="22"/>
      <c r="J106" s="22"/>
      <c r="K106" s="22"/>
    </row>
    <row r="107" spans="2:15" ht="15" customHeight="1" outlineLevel="1">
      <c r="B107" s="15" t="s">
        <v>58</v>
      </c>
      <c r="D107" s="86">
        <v>0</v>
      </c>
      <c r="E107" s="16">
        <f>Model!E167</f>
        <v>0</v>
      </c>
      <c r="F107" s="16">
        <f>Model!F167</f>
        <v>0</v>
      </c>
      <c r="G107" s="16">
        <f>Model!G167</f>
        <v>0</v>
      </c>
      <c r="H107" s="16">
        <f>Model!H167</f>
        <v>0</v>
      </c>
      <c r="I107" s="16">
        <f>Model!I167</f>
        <v>0</v>
      </c>
      <c r="J107" s="16">
        <f>Model!J167</f>
        <v>0</v>
      </c>
      <c r="K107" s="16">
        <f>Model!K167</f>
        <v>0</v>
      </c>
      <c r="M107" s="132">
        <f>SUM(Model!E111:K111)</f>
        <v>0</v>
      </c>
      <c r="N107" s="131">
        <f>SUM(E107:K107)</f>
        <v>0</v>
      </c>
      <c r="O107" s="130" cm="1">
        <f t="array" ref="O107">IF(SUM(ISBLANK(Model!E111:K111)*1)&gt;0,0,IF(M107=N107,1,0))</f>
        <v>1</v>
      </c>
    </row>
    <row r="108" spans="2:15" ht="15" customHeight="1" outlineLevel="1">
      <c r="B108" s="15" t="s">
        <v>57</v>
      </c>
      <c r="D108" s="16">
        <f>-Model!D46</f>
        <v>-27000</v>
      </c>
      <c r="E108" s="16">
        <f>-Model!E46</f>
        <v>-39375</v>
      </c>
      <c r="F108" s="16">
        <f>-Model!F46</f>
        <v>-41250</v>
      </c>
      <c r="G108" s="16">
        <f>-Model!G46</f>
        <v>-29258.311715976695</v>
      </c>
      <c r="H108" s="16">
        <f>-Model!H46</f>
        <v>-33674.633242439981</v>
      </c>
      <c r="I108" s="16">
        <f>-Model!I46</f>
        <v>-35225.702696975968</v>
      </c>
      <c r="J108" s="16">
        <f>-Model!J46</f>
        <v>-36838.814929693392</v>
      </c>
      <c r="K108" s="16">
        <f>-Model!K46</f>
        <v>-38516.451651719508</v>
      </c>
      <c r="M108" s="129">
        <f>SUM(Model!D112:K112)</f>
        <v>-281138.91423680552</v>
      </c>
      <c r="N108" s="128">
        <f>SUM(D108:K108)</f>
        <v>-281138.91423680552</v>
      </c>
      <c r="O108" s="127" cm="1">
        <f t="array" ref="O108">IF(SUM(ISBLANK(Model!D112:K112)*1)&gt;0,0,IF(M108=N108,1,0))</f>
        <v>1</v>
      </c>
    </row>
    <row r="109" spans="2:15" ht="15" customHeight="1" outlineLevel="1">
      <c r="B109" s="15" t="s">
        <v>56</v>
      </c>
      <c r="D109" s="86">
        <v>0</v>
      </c>
      <c r="E109" s="16">
        <f>Model!E157</f>
        <v>-27066</v>
      </c>
      <c r="F109" s="16">
        <f>Model!F157</f>
        <v>70614</v>
      </c>
      <c r="G109" s="16">
        <f>Model!G157</f>
        <v>-38054</v>
      </c>
      <c r="H109" s="16">
        <f>Model!H157</f>
        <v>0</v>
      </c>
      <c r="I109" s="16">
        <f>Model!I157</f>
        <v>0</v>
      </c>
      <c r="J109" s="16">
        <f>Model!J157</f>
        <v>0</v>
      </c>
      <c r="K109" s="16">
        <f>Model!K157</f>
        <v>0</v>
      </c>
      <c r="M109" s="129">
        <f>SUM(Model!E113:K113)</f>
        <v>5494</v>
      </c>
      <c r="N109" s="128">
        <f>SUM(E109:K109)</f>
        <v>5494</v>
      </c>
      <c r="O109" s="127" cm="1">
        <f t="array" ref="O109">IF(SUM(ISBLANK(Model!E113:K113)*1)&gt;0,0,IF(M109=N109,1,0))</f>
        <v>1</v>
      </c>
    </row>
    <row r="110" spans="2:15" ht="15" customHeight="1" outlineLevel="1">
      <c r="B110" s="15" t="s">
        <v>55</v>
      </c>
      <c r="D110" s="83">
        <f>SUM(Model!D111:D113)</f>
        <v>62253</v>
      </c>
      <c r="E110" s="83">
        <f>SUM(Model!E111:E113)</f>
        <v>-66441</v>
      </c>
      <c r="F110" s="83">
        <f>SUM(Model!F111:F113)</f>
        <v>29364</v>
      </c>
      <c r="G110" s="83">
        <f>SUM(Model!G111:G113)</f>
        <v>-67312.311715976699</v>
      </c>
      <c r="H110" s="83">
        <f>SUM(Model!H111:H113)</f>
        <v>-33674.633242439981</v>
      </c>
      <c r="I110" s="83">
        <f>SUM(Model!I111:I113)</f>
        <v>-35225.702696975968</v>
      </c>
      <c r="J110" s="83">
        <f>SUM(Model!J111:J113)</f>
        <v>-36838.814929693392</v>
      </c>
      <c r="K110" s="83">
        <f>SUM(Model!K111:K113)</f>
        <v>-38516.451651719508</v>
      </c>
      <c r="M110" s="126">
        <f>SUM(Model!D115:K115)</f>
        <v>-567660.41423680552</v>
      </c>
      <c r="N110" s="125">
        <f>SUM(D110:K110)</f>
        <v>-186391.91423680555</v>
      </c>
      <c r="O110" s="124" cm="1">
        <f t="array" ref="O110">IF(SUM(ISBLANK(Model!D115:K115)*1)&gt;0,0,IF(M110=N110,1,0))</f>
        <v>0</v>
      </c>
    </row>
    <row r="111" spans="2:15" ht="15" customHeight="1" outlineLevel="1">
      <c r="B111" s="15"/>
      <c r="D111" s="87"/>
      <c r="E111" s="87"/>
      <c r="F111" s="87"/>
      <c r="G111" s="22"/>
      <c r="H111" s="22"/>
      <c r="I111" s="22"/>
      <c r="J111" s="22"/>
      <c r="K111" s="22"/>
    </row>
    <row r="112" spans="2:15" ht="15" customHeight="1" outlineLevel="1">
      <c r="B112" s="15" t="s">
        <v>54</v>
      </c>
      <c r="D112" s="86">
        <v>5671</v>
      </c>
      <c r="E112" s="16">
        <f>Model!D120</f>
        <v>64320</v>
      </c>
      <c r="F112" s="16">
        <f>Model!E120</f>
        <v>66878</v>
      </c>
      <c r="G112" s="16">
        <f>Model!F120</f>
        <v>64368</v>
      </c>
      <c r="H112" s="16">
        <f>Model!G120</f>
        <v>72269.079053068621</v>
      </c>
      <c r="I112" s="16">
        <f>Model!H120</f>
        <v>77998.06178061878</v>
      </c>
      <c r="J112" s="16">
        <f>Model!I120</f>
        <v>74470.741385730493</v>
      </c>
      <c r="K112" s="16">
        <f>Model!J120</f>
        <v>89500.94179288848</v>
      </c>
      <c r="M112" s="132">
        <f>SUM(Model!E117:K117)</f>
        <v>509804.8240123064</v>
      </c>
      <c r="N112" s="131">
        <f>SUM(E112:K112)</f>
        <v>509804.8240123064</v>
      </c>
      <c r="O112" s="130" cm="1">
        <f t="array" ref="O112">IF(SUM(ISBLANK(Model!E117:K117)*1)&gt;0,0,IF(M112=N112,1,0))</f>
        <v>1</v>
      </c>
    </row>
    <row r="113" spans="1:15" ht="15" customHeight="1" outlineLevel="1">
      <c r="B113" s="15" t="s">
        <v>53</v>
      </c>
      <c r="D113" s="16">
        <f>Model!D99+Model!D106+Model!D115</f>
        <v>-74493</v>
      </c>
      <c r="E113" s="16">
        <f>Model!E99+Model!E106+Model!E115</f>
        <v>-90074</v>
      </c>
      <c r="F113" s="16">
        <f>Model!F99+Model!F106+Model!F115</f>
        <v>-79924</v>
      </c>
      <c r="G113" s="16">
        <f>Model!G99+Model!G106+Model!G115</f>
        <v>-86840.93214721496</v>
      </c>
      <c r="H113" s="16">
        <f>Model!H99+Model!H106+Model!H115</f>
        <v>-85146.319043318013</v>
      </c>
      <c r="I113" s="16">
        <f>Model!I99+Model!I106+Model!I115</f>
        <v>-96837.2127717525</v>
      </c>
      <c r="J113" s="16">
        <f>Model!J99+Model!J106+Model!J115</f>
        <v>-83087.270150558936</v>
      </c>
      <c r="K113" s="16">
        <f>Model!K99+Model!K106+Model!K115</f>
        <v>-93250.035915052606</v>
      </c>
      <c r="M113" s="129">
        <f>SUM(Model!D118:K118)</f>
        <v>-80874.222011129488</v>
      </c>
      <c r="N113" s="128">
        <f>SUM(D113:K113)</f>
        <v>-689652.77002789697</v>
      </c>
      <c r="O113" s="127" cm="1">
        <f t="array" ref="O113">IF(SUM(ISBLANK(Model!D118:K118)*1)&gt;0,0,IF(M113=N113,1,0))</f>
        <v>0</v>
      </c>
    </row>
    <row r="114" spans="1:15" ht="15" customHeight="1" outlineLevel="1" thickBot="1">
      <c r="B114" s="34" t="s">
        <v>52</v>
      </c>
      <c r="C114" s="17"/>
      <c r="D114" s="85">
        <f>SUM(Model!D117:D118)</f>
        <v>59449</v>
      </c>
      <c r="E114" s="85">
        <f>SUM(Model!E117:E118)</f>
        <v>40128</v>
      </c>
      <c r="F114" s="85">
        <f>SUM(Model!F117:F118)</f>
        <v>56205</v>
      </c>
      <c r="G114" s="85">
        <f>SUM(Model!G117:G118)</f>
        <v>41780.874090124053</v>
      </c>
      <c r="H114" s="85">
        <f>SUM(Model!H117:H118)</f>
        <v>62390.114733432943</v>
      </c>
      <c r="I114" s="85">
        <f>SUM(Model!I117:I118)</f>
        <v>62632.448503682492</v>
      </c>
      <c r="J114" s="85">
        <f>SUM(Model!J117:J118)</f>
        <v>75538.244304312699</v>
      </c>
      <c r="K114" s="85">
        <f>SUM(Model!K117:K118)</f>
        <v>88178.920369624699</v>
      </c>
      <c r="M114" s="126">
        <f>SUM(Model!D120:K120)</f>
        <v>605721.07146788051</v>
      </c>
      <c r="N114" s="125">
        <f>SUM(D114:K114)</f>
        <v>486302.60200117686</v>
      </c>
      <c r="O114" s="124" cm="1">
        <f t="array" ref="O114">IF(SUM(ISBLANK(Model!D120:K120)*1)&gt;0,0,IF(M114=N114,1,0))</f>
        <v>0</v>
      </c>
    </row>
    <row r="115" spans="1:15" ht="15" customHeight="1" outlineLevel="1">
      <c r="B115" s="17"/>
      <c r="C115" s="17"/>
      <c r="D115" s="31"/>
      <c r="E115" s="31"/>
      <c r="F115" s="31"/>
      <c r="G115" s="31"/>
      <c r="H115" s="31"/>
      <c r="I115" s="31"/>
      <c r="J115" s="31"/>
      <c r="K115" s="31"/>
    </row>
    <row r="116" spans="1:15" ht="15" customHeight="1" outlineLevel="1">
      <c r="B116" s="9"/>
      <c r="C116" s="9"/>
      <c r="D116" s="30"/>
      <c r="E116" s="30"/>
      <c r="F116" s="30"/>
      <c r="G116" s="30"/>
      <c r="H116" s="30"/>
      <c r="I116" s="30"/>
      <c r="J116" s="30"/>
      <c r="K116" s="30"/>
    </row>
    <row r="117" spans="1:15" ht="15" customHeight="1">
      <c r="D117" s="22"/>
      <c r="E117" s="22"/>
      <c r="F117" s="22"/>
      <c r="G117" s="22"/>
      <c r="H117" s="22"/>
      <c r="I117" s="22"/>
      <c r="J117" s="22"/>
      <c r="K117" s="22"/>
    </row>
    <row r="118" spans="1:15" s="12" customFormat="1" ht="15" customHeight="1">
      <c r="A118" s="12" t="s">
        <v>0</v>
      </c>
      <c r="B118" s="29" t="s">
        <v>51</v>
      </c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5" s="12" customFormat="1" ht="15" customHeight="1" outlineLevel="1">
      <c r="B119" s="28"/>
      <c r="C119" s="28"/>
      <c r="D119" s="27"/>
      <c r="E119" s="27"/>
      <c r="F119" s="27"/>
      <c r="G119" s="27"/>
      <c r="H119" s="27"/>
      <c r="I119" s="27"/>
      <c r="J119" s="27"/>
      <c r="K119" s="27"/>
    </row>
    <row r="120" spans="1:15" s="12" customFormat="1" ht="15" customHeight="1" outlineLevel="1" thickBot="1">
      <c r="B120" s="24" t="s">
        <v>15</v>
      </c>
      <c r="C120" s="24"/>
      <c r="D120" s="26">
        <f t="shared" ref="D120:K120" si="6">+D$5</f>
        <v>-2</v>
      </c>
      <c r="E120" s="26">
        <f t="shared" si="6"/>
        <v>-1</v>
      </c>
      <c r="F120" s="26">
        <f t="shared" si="6"/>
        <v>0</v>
      </c>
      <c r="G120" s="25">
        <f t="shared" si="6"/>
        <v>1</v>
      </c>
      <c r="H120" s="25">
        <f t="shared" si="6"/>
        <v>2</v>
      </c>
      <c r="I120" s="25">
        <f t="shared" si="6"/>
        <v>3</v>
      </c>
      <c r="J120" s="25">
        <f t="shared" si="6"/>
        <v>4</v>
      </c>
      <c r="K120" s="25">
        <f t="shared" si="6"/>
        <v>5</v>
      </c>
    </row>
    <row r="121" spans="1:15" s="12" customFormat="1" ht="15" customHeight="1" outlineLevel="1" thickBot="1">
      <c r="B121" s="28"/>
      <c r="C121" s="28"/>
      <c r="D121" s="27"/>
      <c r="E121" s="27"/>
      <c r="F121" s="27"/>
      <c r="G121" s="27"/>
      <c r="H121" s="27"/>
      <c r="I121" s="27"/>
      <c r="J121" s="27"/>
      <c r="K121" s="27"/>
      <c r="M121" s="137" t="s">
        <v>107</v>
      </c>
      <c r="N121" s="136" t="s">
        <v>106</v>
      </c>
      <c r="O121" s="135" t="s">
        <v>105</v>
      </c>
    </row>
    <row r="122" spans="1:15" ht="15" customHeight="1" outlineLevel="1">
      <c r="B122" s="8" t="s">
        <v>50</v>
      </c>
      <c r="D122" s="84">
        <f>Model!D7</f>
        <v>365</v>
      </c>
      <c r="E122" s="83">
        <f>Model!E7</f>
        <v>365</v>
      </c>
      <c r="F122" s="83">
        <f>Model!F7</f>
        <v>365</v>
      </c>
      <c r="G122" s="83">
        <f>Model!G7</f>
        <v>365</v>
      </c>
      <c r="H122" s="83">
        <f>Model!H7</f>
        <v>365</v>
      </c>
      <c r="I122" s="83">
        <f>Model!I7</f>
        <v>365</v>
      </c>
      <c r="J122" s="83">
        <f>Model!J7</f>
        <v>365</v>
      </c>
      <c r="K122" s="82">
        <f>Model!K7</f>
        <v>365</v>
      </c>
      <c r="M122" s="129">
        <f>SUM(Model!D128:K128)</f>
        <v>2920</v>
      </c>
      <c r="N122" s="128">
        <f>SUM(D122:K122)</f>
        <v>2920</v>
      </c>
      <c r="O122" s="127" cm="1">
        <f t="array" ref="O122">IF(SUM(ISBLANK(Model!D128:K128)*1)&gt;0,0,IF(M122=N122,1,0))</f>
        <v>1</v>
      </c>
    </row>
    <row r="123" spans="1:15" ht="15" customHeight="1" outlineLevel="1">
      <c r="B123" s="8" t="s">
        <v>14</v>
      </c>
      <c r="D123" s="81">
        <f>Model!D32</f>
        <v>347568</v>
      </c>
      <c r="E123" s="80">
        <f>Model!E32</f>
        <v>360716</v>
      </c>
      <c r="F123" s="80">
        <f>Model!F32</f>
        <v>361252</v>
      </c>
      <c r="G123" s="80">
        <f>Model!G32</f>
        <v>375702.08</v>
      </c>
      <c r="H123" s="80">
        <f>Model!H32</f>
        <v>390730.16320000001</v>
      </c>
      <c r="I123" s="80">
        <f>Model!I32</f>
        <v>406359.36972800002</v>
      </c>
      <c r="J123" s="80">
        <f>Model!J32</f>
        <v>422613.74451712001</v>
      </c>
      <c r="K123" s="79">
        <f>Model!K32</f>
        <v>439518.29429780482</v>
      </c>
      <c r="M123" s="129">
        <f>SUM(Model!D129:K129)</f>
        <v>3104459.6517429249</v>
      </c>
      <c r="N123" s="128">
        <f>SUM(D123:K123)</f>
        <v>3104459.6517429249</v>
      </c>
      <c r="O123" s="127" cm="1">
        <f t="array" ref="O123">IF(SUM(ISBLANK(Model!D129:K129)*1)&gt;0,0,IF(M123=N123,1,0))</f>
        <v>1</v>
      </c>
    </row>
    <row r="124" spans="1:15" ht="15" customHeight="1" outlineLevel="1">
      <c r="B124" s="8" t="s">
        <v>49</v>
      </c>
      <c r="D124" s="81">
        <f>-Model!D33</f>
        <v>125319</v>
      </c>
      <c r="E124" s="80">
        <f>-Model!E33</f>
        <v>132187</v>
      </c>
      <c r="F124" s="80">
        <f>-Model!F33</f>
        <v>126221</v>
      </c>
      <c r="G124" s="80">
        <f>-Model!G33</f>
        <v>134803.87075546797</v>
      </c>
      <c r="H124" s="80">
        <f>-Model!H33</f>
        <v>140196.02558568667</v>
      </c>
      <c r="I124" s="80">
        <f>-Model!I33</f>
        <v>145803.86660911413</v>
      </c>
      <c r="J124" s="80">
        <f>-Model!J33</f>
        <v>151636.02127347872</v>
      </c>
      <c r="K124" s="79">
        <f>-Model!K33</f>
        <v>157701.46212441786</v>
      </c>
      <c r="M124" s="129">
        <f>SUM(Model!D130:K130)</f>
        <v>-1113868.2463481652</v>
      </c>
      <c r="N124" s="128">
        <f>SUM(D124:K124)</f>
        <v>1113868.2463481652</v>
      </c>
      <c r="O124" s="127" cm="1">
        <f t="array" ref="O124">IF(SUM(ISBLANK(Model!D130:K130)*1)&gt;0,0,IF(M124=N124,1,0))</f>
        <v>0</v>
      </c>
    </row>
    <row r="125" spans="1:15" ht="15" customHeight="1" outlineLevel="1">
      <c r="B125" s="8" t="s">
        <v>48</v>
      </c>
      <c r="D125" s="78">
        <f>-Model!D43</f>
        <v>18768</v>
      </c>
      <c r="E125" s="77">
        <f>-Model!E43</f>
        <v>16985</v>
      </c>
      <c r="F125" s="77">
        <f>-Model!F43</f>
        <v>16669</v>
      </c>
      <c r="G125" s="77">
        <f>-Model!G43</f>
        <v>14521.787097904928</v>
      </c>
      <c r="H125" s="77">
        <f>-Model!H43</f>
        <v>16713.741356433598</v>
      </c>
      <c r="I125" s="77">
        <f>-Model!I43</f>
        <v>17483.584148850619</v>
      </c>
      <c r="J125" s="77">
        <f>-Model!J43</f>
        <v>18284.220652964315</v>
      </c>
      <c r="K125" s="76">
        <f>-Model!K43</f>
        <v>19116.882617242562</v>
      </c>
      <c r="M125" s="126">
        <f>SUM(Model!D131:K131)</f>
        <v>-138542.21587339602</v>
      </c>
      <c r="N125" s="125">
        <f>SUM(D125:K125)</f>
        <v>138542.21587339602</v>
      </c>
      <c r="O125" s="124" cm="1">
        <f t="array" ref="O125">IF(SUM(ISBLANK(Model!D131:K131)*1)&gt;0,0,IF(M125=N125,1,0))</f>
        <v>0</v>
      </c>
    </row>
    <row r="126" spans="1:15" ht="15" customHeight="1" outlineLevel="1">
      <c r="B126" s="17"/>
      <c r="C126" s="17"/>
      <c r="D126" s="72"/>
      <c r="E126" s="72"/>
      <c r="F126" s="72"/>
      <c r="G126" s="74"/>
      <c r="H126" s="74"/>
      <c r="I126" s="74"/>
      <c r="J126" s="74"/>
      <c r="K126" s="74"/>
    </row>
    <row r="127" spans="1:15" ht="15" customHeight="1" outlineLevel="1">
      <c r="B127" s="8" t="s">
        <v>42</v>
      </c>
      <c r="C127" s="57" t="s">
        <v>47</v>
      </c>
      <c r="D127" s="16">
        <f>Model!D19</f>
        <v>113.82726545596833</v>
      </c>
      <c r="E127" s="16">
        <f>Model!E19</f>
        <v>124.21693243438051</v>
      </c>
      <c r="F127" s="16">
        <f>Model!F19</f>
        <v>127.4588099166233</v>
      </c>
      <c r="G127" s="16">
        <f>Model!G19</f>
        <v>121.83433593565739</v>
      </c>
      <c r="H127" s="16">
        <f>Model!H19</f>
        <v>121.83433593565739</v>
      </c>
      <c r="I127" s="16">
        <f>Model!I19</f>
        <v>121.83433593565739</v>
      </c>
      <c r="J127" s="16">
        <f>Model!J19</f>
        <v>121.83433593565739</v>
      </c>
      <c r="K127" s="16">
        <f>Model!K19</f>
        <v>121.83433593565739</v>
      </c>
      <c r="M127" s="132">
        <f>SUM(Model!D133:K133)</f>
        <v>974.67468748525903</v>
      </c>
      <c r="N127" s="131">
        <f>SUM(D127:K127)</f>
        <v>974.67468748525903</v>
      </c>
      <c r="O127" s="130" cm="1">
        <f t="array" ref="O127">IF(SUM(ISBLANK(Model!D133:K133)*1)&gt;0,0,IF(M127=N127,1,0))</f>
        <v>1</v>
      </c>
    </row>
    <row r="128" spans="1:15" ht="15" customHeight="1" outlineLevel="1">
      <c r="B128" s="8" t="s">
        <v>41</v>
      </c>
      <c r="C128" s="57" t="s">
        <v>47</v>
      </c>
      <c r="D128" s="16">
        <f>Model!D20</f>
        <v>36.069231321667104</v>
      </c>
      <c r="E128" s="16">
        <f>Model!E20</f>
        <v>33.529734391430317</v>
      </c>
      <c r="F128" s="16">
        <f>Model!F20</f>
        <v>29.735899731423459</v>
      </c>
      <c r="G128" s="16">
        <f>Model!G20</f>
        <v>33.111621814840291</v>
      </c>
      <c r="H128" s="16">
        <f>Model!H20</f>
        <v>33.111621814840291</v>
      </c>
      <c r="I128" s="16">
        <f>Model!I20</f>
        <v>33.111621814840291</v>
      </c>
      <c r="J128" s="16">
        <f>Model!J20</f>
        <v>33.111621814840291</v>
      </c>
      <c r="K128" s="16">
        <f>Model!K20</f>
        <v>33.111621814840291</v>
      </c>
      <c r="M128" s="129">
        <f>SUM(Model!D134:K134)</f>
        <v>264.89297451872238</v>
      </c>
      <c r="N128" s="128">
        <f>SUM(D128:K128)</f>
        <v>264.89297451872238</v>
      </c>
      <c r="O128" s="127" cm="1">
        <f t="array" ref="O128">IF(SUM(ISBLANK(Model!D134:K134)*1)&gt;0,0,IF(M128=N128,1,0))</f>
        <v>1</v>
      </c>
    </row>
    <row r="129" spans="2:15" ht="15" customHeight="1" outlineLevel="1">
      <c r="B129" s="8" t="s">
        <v>40</v>
      </c>
      <c r="C129" s="57" t="s">
        <v>47</v>
      </c>
      <c r="D129" s="16">
        <f>Model!D21</f>
        <v>339.70726705447697</v>
      </c>
      <c r="E129" s="16">
        <f>Model!E21</f>
        <v>349.02622799518861</v>
      </c>
      <c r="F129" s="16">
        <f>Model!F21</f>
        <v>351.69215106836424</v>
      </c>
      <c r="G129" s="16">
        <f>Model!G21</f>
        <v>346.80854870600996</v>
      </c>
      <c r="H129" s="16">
        <f>Model!H21</f>
        <v>346.80854870600996</v>
      </c>
      <c r="I129" s="16">
        <f>Model!I21</f>
        <v>346.80854870600996</v>
      </c>
      <c r="J129" s="16">
        <f>Model!J21</f>
        <v>346.80854870600996</v>
      </c>
      <c r="K129" s="16">
        <f>Model!K21</f>
        <v>346.80854870600996</v>
      </c>
      <c r="M129" s="129">
        <f>SUM(Model!D135:K135)</f>
        <v>2774.4683896480792</v>
      </c>
      <c r="N129" s="128">
        <f>SUM(D129:K129)</f>
        <v>2774.4683896480792</v>
      </c>
      <c r="O129" s="127" cm="1">
        <f t="array" ref="O129">IF(SUM(ISBLANK(Model!D135:K135)*1)&gt;0,0,IF(M129=N129,1,0))</f>
        <v>1</v>
      </c>
    </row>
    <row r="130" spans="2:15" ht="15" customHeight="1" outlineLevel="1">
      <c r="B130" s="64" t="s">
        <v>46</v>
      </c>
      <c r="D130" s="75" t="e">
        <f>Model!#REF!</f>
        <v>#REF!</v>
      </c>
      <c r="E130" s="75" t="e">
        <f>Model!#REF!</f>
        <v>#REF!</v>
      </c>
      <c r="F130" s="75" t="e">
        <f>Model!#REF!</f>
        <v>#REF!</v>
      </c>
      <c r="G130" s="75" t="e">
        <f>Model!#REF!</f>
        <v>#REF!</v>
      </c>
      <c r="H130" s="75" t="e">
        <f>Model!#REF!</f>
        <v>#REF!</v>
      </c>
      <c r="I130" s="75" t="e">
        <f>Model!#REF!</f>
        <v>#REF!</v>
      </c>
      <c r="J130" s="75" t="e">
        <f>Model!#REF!</f>
        <v>#REF!</v>
      </c>
      <c r="K130" s="75" t="e">
        <f>Model!#REF!</f>
        <v>#REF!</v>
      </c>
      <c r="M130" s="134" t="e">
        <f>SUM(Model!#REF!)</f>
        <v>#REF!</v>
      </c>
      <c r="N130" s="133" t="e">
        <f>SUM(D130:K130)</f>
        <v>#REF!</v>
      </c>
      <c r="O130" s="124" t="e" cm="1">
        <f t="array" ref="O130">IF(SUM(ISBLANK(Model!#REF!)*1)&gt;0,0,IF(M130=N130,1,0))</f>
        <v>#REF!</v>
      </c>
    </row>
    <row r="131" spans="2:15" ht="15" customHeight="1" outlineLevel="1">
      <c r="D131" s="72"/>
      <c r="E131" s="72"/>
      <c r="F131" s="72"/>
      <c r="G131" s="74"/>
      <c r="H131" s="74"/>
      <c r="I131" s="74"/>
      <c r="J131" s="74"/>
      <c r="K131" s="74"/>
    </row>
    <row r="132" spans="2:15" ht="15" customHeight="1" outlineLevel="1">
      <c r="B132" s="17" t="s">
        <v>45</v>
      </c>
      <c r="D132" s="72"/>
      <c r="E132" s="72"/>
      <c r="F132" s="72"/>
      <c r="G132" s="74"/>
      <c r="H132" s="74"/>
      <c r="I132" s="74"/>
      <c r="J132" s="74"/>
      <c r="K132" s="74"/>
    </row>
    <row r="133" spans="2:15" ht="15" customHeight="1" outlineLevel="1">
      <c r="B133" s="15" t="s">
        <v>42</v>
      </c>
      <c r="D133" s="69">
        <f>Model!D56</f>
        <v>108391</v>
      </c>
      <c r="E133" s="69">
        <f>Model!E56</f>
        <v>122759</v>
      </c>
      <c r="F133" s="69">
        <f>Model!F56</f>
        <v>126150</v>
      </c>
      <c r="G133" s="69">
        <f>Model!G133/Model!G128*Model!G129</f>
        <v>125406.61212724721</v>
      </c>
      <c r="H133" s="69">
        <f>Model!H133/Model!H128*Model!H129</f>
        <v>130422.87661233709</v>
      </c>
      <c r="I133" s="69">
        <f>Model!I133/Model!I128*Model!I129</f>
        <v>135639.79167683059</v>
      </c>
      <c r="J133" s="69">
        <f>Model!J133/Model!J128*Model!J129</f>
        <v>141065.38334390381</v>
      </c>
      <c r="K133" s="69">
        <f>Model!K133/Model!K128*Model!K129</f>
        <v>146707.99867765995</v>
      </c>
      <c r="M133" s="132">
        <f>SUM(Model!D138:K138)</f>
        <v>1036542.6624379787</v>
      </c>
      <c r="N133" s="131">
        <f>SUM(D133:K133)</f>
        <v>1036542.6624379787</v>
      </c>
      <c r="O133" s="130" cm="1">
        <f t="array" ref="O133">IF(SUM(ISBLANK(Model!D138:K138)*1)&gt;0,0,IF(M133=N133,1,0))</f>
        <v>1</v>
      </c>
    </row>
    <row r="134" spans="2:15" ht="15" customHeight="1" outlineLevel="1">
      <c r="B134" s="15" t="s">
        <v>41</v>
      </c>
      <c r="D134" s="69">
        <f>Model!D57</f>
        <v>12384</v>
      </c>
      <c r="E134" s="69">
        <f>Model!E57</f>
        <v>12143</v>
      </c>
      <c r="F134" s="69">
        <f>Model!F57</f>
        <v>10283</v>
      </c>
      <c r="G134" s="69">
        <f>Model!G134/Model!G128*Model!G130</f>
        <v>-12228.97202090867</v>
      </c>
      <c r="H134" s="69">
        <f>Model!H134/Model!H128*Model!H130</f>
        <v>-12718.130901745015</v>
      </c>
      <c r="I134" s="69">
        <f>Model!I134/Model!I128*Model!I130</f>
        <v>-13226.856137814815</v>
      </c>
      <c r="J134" s="69">
        <f>Model!J134/Model!J128*Model!J130</f>
        <v>-13755.93038332741</v>
      </c>
      <c r="K134" s="69">
        <f>Model!K134/Model!K128*Model!K130</f>
        <v>-14306.167598660506</v>
      </c>
      <c r="M134" s="129">
        <f>SUM(Model!D139:K139)</f>
        <v>101046.05704245641</v>
      </c>
      <c r="N134" s="128">
        <f>SUM(D134:K134)</f>
        <v>-31426.057042456414</v>
      </c>
      <c r="O134" s="127" cm="1">
        <f t="array" ref="O134">IF(SUM(ISBLANK(Model!D139:K139)*1)&gt;0,0,IF(M134=N134,1,0))</f>
        <v>0</v>
      </c>
    </row>
    <row r="135" spans="2:15" ht="15" customHeight="1" outlineLevel="1">
      <c r="B135" s="15" t="s">
        <v>40</v>
      </c>
      <c r="D135" s="69">
        <f>Model!D66</f>
        <v>116635</v>
      </c>
      <c r="E135" s="69">
        <f>Model!E66</f>
        <v>126402</v>
      </c>
      <c r="F135" s="69">
        <f>Model!F66</f>
        <v>121619</v>
      </c>
      <c r="G135" s="69">
        <f>Model!G135/Model!G128*Model!G130</f>
        <v>-128085.3007579627</v>
      </c>
      <c r="H135" s="69">
        <f>Model!H135/Model!H128*Model!H130</f>
        <v>-133208.71278828118</v>
      </c>
      <c r="I135" s="69">
        <f>Model!I135/Model!I128*Model!I130</f>
        <v>-138537.06129981243</v>
      </c>
      <c r="J135" s="69">
        <f>Model!J135/Model!J128*Model!J130</f>
        <v>-144078.54375180494</v>
      </c>
      <c r="K135" s="69">
        <f>Model!K135/Model!K128*Model!K130</f>
        <v>-149841.68550187713</v>
      </c>
      <c r="M135" s="129">
        <f>SUM(Model!D140:K140)</f>
        <v>1058407.3040997384</v>
      </c>
      <c r="N135" s="128">
        <f>SUM(D135:K135)</f>
        <v>-329095.30409973837</v>
      </c>
      <c r="O135" s="127" cm="1">
        <f t="array" ref="O135">IF(SUM(ISBLANK(Model!D140:K140)*1)&gt;0,0,IF(M135=N135,1,0))</f>
        <v>0</v>
      </c>
    </row>
    <row r="136" spans="2:15" ht="15" customHeight="1" outlineLevel="1">
      <c r="B136" s="15" t="s">
        <v>44</v>
      </c>
      <c r="D136" s="69">
        <f>Model!D67</f>
        <v>42068</v>
      </c>
      <c r="E136" s="69">
        <f>Model!E67</f>
        <v>58399</v>
      </c>
      <c r="F136" s="69">
        <f>Model!F67</f>
        <v>58066</v>
      </c>
      <c r="G136" s="69" t="e">
        <f>Model!#REF!*Model!G131</f>
        <v>#REF!</v>
      </c>
      <c r="H136" s="69" t="e">
        <f>Model!#REF!*Model!H131</f>
        <v>#REF!</v>
      </c>
      <c r="I136" s="69" t="e">
        <f>Model!#REF!*Model!I131</f>
        <v>#REF!</v>
      </c>
      <c r="J136" s="69" t="e">
        <f>Model!#REF!*Model!J131</f>
        <v>#REF!</v>
      </c>
      <c r="K136" s="69" t="e">
        <f>Model!#REF!*Model!K131</f>
        <v>#REF!</v>
      </c>
      <c r="M136" s="126">
        <f>SUM(Model!D141:K141)</f>
        <v>0</v>
      </c>
      <c r="N136" s="125" t="e">
        <f>SUM(D136:K136)</f>
        <v>#REF!</v>
      </c>
      <c r="O136" s="124" cm="1">
        <f t="array" ref="O136">IF(SUM(ISBLANK(Model!D141:K141)*1)&gt;0,0,IF(M136=N136,1,0))</f>
        <v>0</v>
      </c>
    </row>
    <row r="137" spans="2:15" ht="15" customHeight="1" outlineLevel="1">
      <c r="D137" s="72"/>
      <c r="E137" s="72"/>
      <c r="F137" s="72"/>
      <c r="G137" s="71"/>
      <c r="H137" s="71"/>
      <c r="I137" s="71"/>
      <c r="J137" s="71"/>
      <c r="K137" s="71"/>
    </row>
    <row r="138" spans="2:15" ht="15" customHeight="1" outlineLevel="1">
      <c r="B138" s="73" t="s">
        <v>43</v>
      </c>
      <c r="C138" s="73"/>
      <c r="D138" s="72"/>
      <c r="E138" s="72"/>
      <c r="F138" s="72"/>
      <c r="G138" s="71"/>
      <c r="H138" s="71"/>
      <c r="I138" s="71"/>
      <c r="J138" s="71"/>
      <c r="K138" s="71"/>
    </row>
    <row r="139" spans="2:15" ht="15" customHeight="1" outlineLevel="1">
      <c r="B139" s="15" t="s">
        <v>42</v>
      </c>
      <c r="C139" s="15"/>
      <c r="D139" s="70">
        <v>-1280</v>
      </c>
      <c r="E139" s="69">
        <f>Model!D138-Model!E138</f>
        <v>-14368</v>
      </c>
      <c r="F139" s="69">
        <f>Model!E138-Model!F138</f>
        <v>-3391</v>
      </c>
      <c r="G139" s="69">
        <f>Model!F138-Model!G138</f>
        <v>743.38787275279174</v>
      </c>
      <c r="H139" s="69">
        <f>Model!G138-Model!H138</f>
        <v>-5016.2644850898796</v>
      </c>
      <c r="I139" s="69">
        <f>Model!H138-Model!I138</f>
        <v>-5216.9150644934998</v>
      </c>
      <c r="J139" s="69">
        <f>Model!I138-Model!J138</f>
        <v>-5425.5916670732258</v>
      </c>
      <c r="K139" s="69">
        <f>Model!J138-Model!K138</f>
        <v>-5642.6153337561409</v>
      </c>
      <c r="M139" s="132">
        <f>SUM(Model!E143:K143)</f>
        <v>-38316.998677659954</v>
      </c>
      <c r="N139" s="131">
        <f>SUM(E139:K139)</f>
        <v>-38316.998677659954</v>
      </c>
      <c r="O139" s="130" cm="1">
        <f t="array" ref="O139">IF(SUM(ISBLANK(Model!E143:K143)*1)&gt;0,0,IF(M139=N139,1,0))</f>
        <v>1</v>
      </c>
    </row>
    <row r="140" spans="2:15" ht="15" customHeight="1" outlineLevel="1">
      <c r="B140" s="15" t="s">
        <v>41</v>
      </c>
      <c r="C140" s="15"/>
      <c r="D140" s="70">
        <v>-470</v>
      </c>
      <c r="E140" s="69">
        <f>Model!D139-Model!E139</f>
        <v>241</v>
      </c>
      <c r="F140" s="69">
        <f>Model!E139-Model!F139</f>
        <v>1860</v>
      </c>
      <c r="G140" s="69">
        <f>Model!F139-Model!G139</f>
        <v>-1945.9720209086699</v>
      </c>
      <c r="H140" s="69">
        <f>Model!G139-Model!H139</f>
        <v>-489.15888083634491</v>
      </c>
      <c r="I140" s="69">
        <f>Model!H139-Model!I139</f>
        <v>-508.7252360698003</v>
      </c>
      <c r="J140" s="69">
        <f>Model!I139-Model!J139</f>
        <v>-529.07424551259464</v>
      </c>
      <c r="K140" s="69">
        <f>Model!J139-Model!K139</f>
        <v>-550.23721533309617</v>
      </c>
      <c r="M140" s="129">
        <f>SUM(Model!E144:K144)</f>
        <v>-1922.167598660506</v>
      </c>
      <c r="N140" s="128">
        <f>SUM(E140:K140)</f>
        <v>-1922.167598660506</v>
      </c>
      <c r="O140" s="127" cm="1">
        <f t="array" ref="O140">IF(SUM(ISBLANK(Model!E144:K144)*1)&gt;0,0,IF(M140=N140,1,0))</f>
        <v>1</v>
      </c>
    </row>
    <row r="141" spans="2:15" ht="15" customHeight="1" outlineLevel="1">
      <c r="B141" s="15" t="s">
        <v>40</v>
      </c>
      <c r="C141" s="15"/>
      <c r="D141" s="68">
        <v>490</v>
      </c>
      <c r="E141" s="69">
        <f>Model!E140-Model!D140</f>
        <v>9767</v>
      </c>
      <c r="F141" s="69">
        <f>Model!F140-Model!E140</f>
        <v>-4783</v>
      </c>
      <c r="G141" s="69">
        <f>Model!G140-Model!F140</f>
        <v>6466.300757962701</v>
      </c>
      <c r="H141" s="69">
        <f>Model!H140-Model!G140</f>
        <v>5123.4120303184754</v>
      </c>
      <c r="I141" s="69">
        <f>Model!I140-Model!H140</f>
        <v>5328.3485115312506</v>
      </c>
      <c r="J141" s="69">
        <f>Model!J140-Model!I140</f>
        <v>5541.4824519925169</v>
      </c>
      <c r="K141" s="69">
        <f>Model!K140-Model!J140</f>
        <v>5763.1417500721873</v>
      </c>
      <c r="M141" s="129">
        <f>SUM(Model!E145:K145)</f>
        <v>33206.685501877131</v>
      </c>
      <c r="N141" s="128">
        <f>SUM(E141:K141)</f>
        <v>33206.685501877131</v>
      </c>
      <c r="O141" s="127" cm="1">
        <f t="array" ref="O141">IF(SUM(ISBLANK(Model!E145:K145)*1)&gt;0,0,IF(M141=N141,1,0))</f>
        <v>1</v>
      </c>
    </row>
    <row r="142" spans="2:15" ht="15" customHeight="1" outlineLevel="1">
      <c r="B142" s="15" t="s">
        <v>39</v>
      </c>
      <c r="C142" s="15"/>
      <c r="D142" s="68">
        <v>50</v>
      </c>
      <c r="E142" s="67">
        <f>Model!E141-Model!D141</f>
        <v>0</v>
      </c>
      <c r="F142" s="67">
        <f>Model!F141-Model!E141</f>
        <v>0</v>
      </c>
      <c r="G142" s="67">
        <f>Model!G141-Model!F141</f>
        <v>0</v>
      </c>
      <c r="H142" s="67">
        <f>Model!H141-Model!G141</f>
        <v>0</v>
      </c>
      <c r="I142" s="67">
        <f>Model!I141-Model!H141</f>
        <v>0</v>
      </c>
      <c r="J142" s="67">
        <f>Model!J141-Model!I141</f>
        <v>0</v>
      </c>
      <c r="K142" s="67">
        <f>Model!K141-Model!J141</f>
        <v>0</v>
      </c>
      <c r="M142" s="129" t="e">
        <f>SUM(Model!#REF!)</f>
        <v>#REF!</v>
      </c>
      <c r="N142" s="128">
        <f>SUM(E142:K142)</f>
        <v>0</v>
      </c>
      <c r="O142" s="127" t="e" cm="1">
        <f t="array" ref="O142">IF(SUM(ISBLANK(Model!#REF!)*1)&gt;0,0,IF(M142=N142,1,0))</f>
        <v>#REF!</v>
      </c>
    </row>
    <row r="143" spans="2:15" ht="15" customHeight="1" outlineLevel="1" thickBot="1">
      <c r="B143" s="15" t="s">
        <v>38</v>
      </c>
      <c r="C143" s="15"/>
      <c r="D143" s="66">
        <f>SUM(Model!D143:D145)</f>
        <v>34439</v>
      </c>
      <c r="E143" s="66">
        <f>SUM(Model!E143:E145)</f>
        <v>-4360</v>
      </c>
      <c r="F143" s="66">
        <f>SUM(Model!F143:F145)</f>
        <v>-6314</v>
      </c>
      <c r="G143" s="66">
        <f>SUM(Model!G143:G145)</f>
        <v>5263.7166098068228</v>
      </c>
      <c r="H143" s="66">
        <f>SUM(Model!H143:H145)</f>
        <v>-382.01133560774906</v>
      </c>
      <c r="I143" s="66">
        <f>SUM(Model!I143:I145)</f>
        <v>-397.29178903204956</v>
      </c>
      <c r="J143" s="66">
        <f>SUM(Model!J143:J145)</f>
        <v>-413.18346059330361</v>
      </c>
      <c r="K143" s="66">
        <f>SUM(Model!K143:K145)</f>
        <v>-429.71079901704979</v>
      </c>
      <c r="M143" s="126">
        <f>SUM(Model!D146:K146)</f>
        <v>27406.519225556673</v>
      </c>
      <c r="N143" s="125">
        <f>SUM(D143:K143)</f>
        <v>27406.519225556673</v>
      </c>
      <c r="O143" s="124" cm="1">
        <f t="array" ref="O143">IF(SUM(ISBLANK(Model!D146:K146)*1)&gt;0,0,IF(M143=N143,1,0))</f>
        <v>1</v>
      </c>
    </row>
    <row r="144" spans="2:15" ht="15" customHeight="1" outlineLevel="1">
      <c r="B144" s="15"/>
      <c r="C144" s="15"/>
      <c r="D144" s="65"/>
      <c r="E144" s="65"/>
      <c r="F144" s="65"/>
      <c r="G144" s="65"/>
      <c r="H144" s="65"/>
      <c r="I144" s="65"/>
      <c r="J144" s="65"/>
      <c r="K144" s="65"/>
    </row>
    <row r="145" spans="1:15" ht="15" customHeight="1" outlineLevel="1">
      <c r="B145" s="15" t="s">
        <v>14</v>
      </c>
      <c r="C145" s="24"/>
      <c r="D145" s="63">
        <f>Model!D129</f>
        <v>347568</v>
      </c>
      <c r="E145" s="62">
        <f>Model!E129</f>
        <v>360716</v>
      </c>
      <c r="F145" s="62">
        <f>Model!F129</f>
        <v>361252</v>
      </c>
      <c r="G145" s="62">
        <f>Model!G129</f>
        <v>375702.08</v>
      </c>
      <c r="H145" s="62">
        <f>Model!H129</f>
        <v>390730.16320000001</v>
      </c>
      <c r="I145" s="62">
        <f>Model!I129</f>
        <v>406359.36972800002</v>
      </c>
      <c r="J145" s="62">
        <f>Model!J129</f>
        <v>422613.74451712001</v>
      </c>
      <c r="K145" s="61">
        <f>Model!K129</f>
        <v>439518.29429780482</v>
      </c>
      <c r="M145" s="132" t="e">
        <f>SUM(Model!#REF!)</f>
        <v>#REF!</v>
      </c>
      <c r="N145" s="131">
        <f>SUM(D145:K145)</f>
        <v>3104459.6517429249</v>
      </c>
      <c r="O145" s="130" t="e" cm="1">
        <f t="array" ref="O145">IF(SUM(ISBLANK(Model!#REF!)*1)&gt;0,0,IF(M145=N145,1,0))</f>
        <v>#REF!</v>
      </c>
    </row>
    <row r="146" spans="1:15" ht="15" customHeight="1" outlineLevel="1">
      <c r="B146" s="15" t="s">
        <v>37</v>
      </c>
      <c r="C146" s="57" t="s">
        <v>36</v>
      </c>
      <c r="D146" s="60">
        <f>Model!D18</f>
        <v>1.3175336047490163</v>
      </c>
      <c r="E146" s="59">
        <f>Model!E18</f>
        <v>1.2490901472732121</v>
      </c>
      <c r="F146" s="59">
        <f>Model!F18</f>
        <v>1.2007911050540976</v>
      </c>
      <c r="G146" s="59">
        <f>Model!G18</f>
        <v>1.2558049523587753</v>
      </c>
      <c r="H146" s="59">
        <f>Model!H18</f>
        <v>1.2558049523587753</v>
      </c>
      <c r="I146" s="59">
        <f>Model!I18</f>
        <v>1.2558049523587753</v>
      </c>
      <c r="J146" s="59">
        <f>Model!J18</f>
        <v>1.2558049523587753</v>
      </c>
      <c r="K146" s="58">
        <f>Model!K18</f>
        <v>1.2558049523587753</v>
      </c>
      <c r="M146" s="142" t="e">
        <f>SUM(Model!#REF!)</f>
        <v>#REF!</v>
      </c>
      <c r="N146" s="141">
        <f>SUM(D146:K146)</f>
        <v>10.046439618870203</v>
      </c>
      <c r="O146" s="127" t="e" cm="1">
        <f t="array" ref="O146">IF(SUM(ISBLANK(Model!#REF!)*1)&gt;0,0,IF(M146=N146,1,0))</f>
        <v>#REF!</v>
      </c>
    </row>
    <row r="147" spans="1:15" ht="15" customHeight="1" outlineLevel="1">
      <c r="B147" s="15" t="s">
        <v>35</v>
      </c>
      <c r="C147" s="57"/>
      <c r="D147" s="56">
        <f>Model!D13</f>
        <v>0.24653305252497354</v>
      </c>
      <c r="E147" s="55">
        <f>Model!E13</f>
        <v>0.23009791636633806</v>
      </c>
      <c r="F147" s="55">
        <f>Model!F13</f>
        <v>0.22338976670025357</v>
      </c>
      <c r="G147" s="55">
        <f>Model!G13</f>
        <v>0.23334024519718841</v>
      </c>
      <c r="H147" s="55">
        <f>Model!H13</f>
        <v>0.23334024519718841</v>
      </c>
      <c r="I147" s="55">
        <f>Model!I13</f>
        <v>0.23334024519718841</v>
      </c>
      <c r="J147" s="55">
        <f>Model!J13</f>
        <v>0.23334024519718841</v>
      </c>
      <c r="K147" s="54">
        <f>Model!K13</f>
        <v>0.23334024519718841</v>
      </c>
      <c r="M147" s="134" t="e">
        <f>SUM(Model!#REF!)</f>
        <v>#REF!</v>
      </c>
      <c r="N147" s="133">
        <f>SUM(D147:K147)</f>
        <v>1.8667219615775072</v>
      </c>
      <c r="O147" s="124" t="e" cm="1">
        <f t="array" ref="O147">IF(SUM(ISBLANK(Model!#REF!)*1)&gt;0,0,IF(M147=N147,1,0))</f>
        <v>#REF!</v>
      </c>
    </row>
    <row r="148" spans="1:15" ht="15" customHeight="1" outlineLevel="1">
      <c r="B148" s="53"/>
      <c r="C148" s="24"/>
      <c r="D148" s="23"/>
      <c r="E148" s="23"/>
      <c r="F148" s="23"/>
      <c r="G148" s="23"/>
      <c r="H148" s="23"/>
      <c r="I148" s="23"/>
      <c r="J148" s="23"/>
      <c r="K148" s="23"/>
    </row>
    <row r="149" spans="1:15" ht="15" customHeight="1" outlineLevel="1">
      <c r="B149" s="34" t="s">
        <v>34</v>
      </c>
      <c r="C149" s="17"/>
      <c r="D149" s="22"/>
      <c r="E149" s="22"/>
      <c r="F149" s="22"/>
      <c r="G149" s="22"/>
      <c r="H149" s="22"/>
      <c r="I149" s="22"/>
      <c r="J149" s="22"/>
      <c r="K149" s="22"/>
    </row>
    <row r="150" spans="1:15" ht="15" customHeight="1" outlineLevel="1">
      <c r="B150" s="15" t="s">
        <v>19</v>
      </c>
      <c r="D150" s="16" t="e">
        <f>Model!#REF!-Model!#REF!-Model!#REF!</f>
        <v>#REF!</v>
      </c>
      <c r="E150" s="16" t="e">
        <f>Model!#REF!</f>
        <v>#REF!</v>
      </c>
      <c r="F150" s="16" t="e">
        <f>Model!#REF!</f>
        <v>#REF!</v>
      </c>
      <c r="G150" s="16" t="e">
        <f>Model!#REF!</f>
        <v>#REF!</v>
      </c>
      <c r="H150" s="16" t="e">
        <f>Model!#REF!</f>
        <v>#REF!</v>
      </c>
      <c r="I150" s="16" t="e">
        <f>Model!#REF!</f>
        <v>#REF!</v>
      </c>
      <c r="J150" s="16" t="e">
        <f>Model!#REF!</f>
        <v>#REF!</v>
      </c>
      <c r="K150" s="16" t="e">
        <f>Model!#REF!</f>
        <v>#REF!</v>
      </c>
      <c r="M150" s="132" t="e">
        <f>SUM(Model!#REF!)</f>
        <v>#REF!</v>
      </c>
      <c r="N150" s="131" t="e">
        <f>SUM(D150:K150)</f>
        <v>#REF!</v>
      </c>
      <c r="O150" s="130" t="e" cm="1">
        <f t="array" ref="O150">IF(SUM(ISBLANK(Model!#REF!)*1)&gt;0,0,IF(M150=N150,1,0))</f>
        <v>#REF!</v>
      </c>
    </row>
    <row r="151" spans="1:15" ht="15" customHeight="1" outlineLevel="1">
      <c r="B151" s="15" t="s">
        <v>33</v>
      </c>
      <c r="D151" s="16">
        <f>-Model!D105</f>
        <v>68161</v>
      </c>
      <c r="E151" s="16">
        <f>-Model!E105</f>
        <v>75317</v>
      </c>
      <c r="F151" s="16">
        <f>-Model!F105</f>
        <v>64395</v>
      </c>
      <c r="G151" s="16" t="e">
        <f>Model!#REF!-Model!#REF!-Model!#REF!</f>
        <v>#REF!</v>
      </c>
      <c r="H151" s="16" t="e">
        <f>Model!#REF!-Model!#REF!-Model!#REF!</f>
        <v>#REF!</v>
      </c>
      <c r="I151" s="16" t="e">
        <f>Model!#REF!-Model!#REF!-Model!#REF!</f>
        <v>#REF!</v>
      </c>
      <c r="J151" s="16" t="e">
        <f>Model!#REF!-Model!#REF!-Model!#REF!</f>
        <v>#REF!</v>
      </c>
      <c r="K151" s="16" t="e">
        <f>Model!#REF!-Model!#REF!-Model!#REF!</f>
        <v>#REF!</v>
      </c>
      <c r="M151" s="129" t="e">
        <f>SUM(Model!#REF!)</f>
        <v>#REF!</v>
      </c>
      <c r="N151" s="128" t="e">
        <f>SUM(D151:K151)</f>
        <v>#REF!</v>
      </c>
      <c r="O151" s="127" t="e" cm="1">
        <f t="array" ref="O151">IF(SUM(ISBLANK(Model!#REF!)*1)&gt;0,0,IF(M151=N151,1,0))</f>
        <v>#REF!</v>
      </c>
    </row>
    <row r="152" spans="1:15" ht="15" customHeight="1" outlineLevel="1">
      <c r="B152" s="15" t="s">
        <v>32</v>
      </c>
      <c r="D152" s="16">
        <f>Model!D37</f>
        <v>-85687</v>
      </c>
      <c r="E152" s="16">
        <f>Model!E37</f>
        <v>-83000</v>
      </c>
      <c r="F152" s="16">
        <f>Model!F37</f>
        <v>-80700</v>
      </c>
      <c r="G152" s="16" t="e">
        <f>Model!#REF!*Model!#REF!*-1</f>
        <v>#REF!</v>
      </c>
      <c r="H152" s="16" t="e">
        <f>Model!#REF!*Model!#REF!*-1</f>
        <v>#REF!</v>
      </c>
      <c r="I152" s="16" t="e">
        <f>Model!#REF!*Model!#REF!*-1</f>
        <v>#REF!</v>
      </c>
      <c r="J152" s="16" t="e">
        <f>Model!#REF!*Model!#REF!*-1</f>
        <v>#REF!</v>
      </c>
      <c r="K152" s="16" t="e">
        <f>Model!#REF!*Model!#REF!*-1</f>
        <v>#REF!</v>
      </c>
      <c r="M152" s="129" t="e">
        <f>SUM(Model!#REF!)</f>
        <v>#REF!</v>
      </c>
      <c r="N152" s="128" t="e">
        <f>SUM(D152:K152)</f>
        <v>#REF!</v>
      </c>
      <c r="O152" s="127" t="e" cm="1">
        <f t="array" ref="O152">IF(SUM(ISBLANK(Model!#REF!)*1)&gt;0,0,IF(M152=N152,1,0))</f>
        <v>#REF!</v>
      </c>
    </row>
    <row r="153" spans="1:15" ht="15" customHeight="1" outlineLevel="1">
      <c r="B153" s="34" t="s">
        <v>31</v>
      </c>
      <c r="C153" s="17"/>
      <c r="D153" s="33">
        <f>Model!D61</f>
        <v>263802</v>
      </c>
      <c r="E153" s="32" t="e">
        <f>SUM(Model!#REF!)</f>
        <v>#REF!</v>
      </c>
      <c r="F153" s="32" t="e">
        <f>SUM(Model!#REF!)</f>
        <v>#REF!</v>
      </c>
      <c r="G153" s="32" t="e">
        <f>Model!#REF!/Model!#REF!</f>
        <v>#REF!</v>
      </c>
      <c r="H153" s="32" t="e">
        <f>Model!#REF!/Model!#REF!</f>
        <v>#REF!</v>
      </c>
      <c r="I153" s="32" t="e">
        <f>Model!#REF!/Model!#REF!</f>
        <v>#REF!</v>
      </c>
      <c r="J153" s="32" t="e">
        <f>Model!#REF!/Model!#REF!</f>
        <v>#REF!</v>
      </c>
      <c r="K153" s="32" t="e">
        <f>Model!#REF!/Model!#REF!</f>
        <v>#REF!</v>
      </c>
      <c r="M153" s="126" t="e">
        <f>SUM(Model!#REF!)</f>
        <v>#REF!</v>
      </c>
      <c r="N153" s="125" t="e">
        <f>SUM(D153:K153)</f>
        <v>#REF!</v>
      </c>
      <c r="O153" s="124" t="e" cm="1">
        <f t="array" ref="O153">IF(SUM(ISBLANK(Model!#REF!)*1)&gt;0,0,IF(M153=N153,1,0))</f>
        <v>#REF!</v>
      </c>
    </row>
    <row r="154" spans="1:15" ht="15" customHeight="1" outlineLevel="1">
      <c r="B154" s="51"/>
      <c r="C154" s="51"/>
      <c r="D154" s="50"/>
      <c r="E154" s="50"/>
      <c r="F154" s="50"/>
      <c r="G154" s="50"/>
      <c r="H154" s="50"/>
      <c r="I154" s="50"/>
      <c r="J154" s="50"/>
      <c r="K154" s="50"/>
    </row>
    <row r="155" spans="1:15" ht="15" customHeight="1">
      <c r="D155" s="22"/>
      <c r="E155" s="22"/>
      <c r="F155" s="22"/>
      <c r="G155" s="22"/>
      <c r="H155" s="22"/>
      <c r="I155" s="22"/>
      <c r="J155" s="22"/>
      <c r="K155" s="22"/>
    </row>
    <row r="156" spans="1:15" s="12" customFormat="1" ht="15" customHeight="1">
      <c r="A156" s="12" t="s">
        <v>0</v>
      </c>
      <c r="B156" s="29" t="s">
        <v>30</v>
      </c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5" s="12" customFormat="1" ht="15" customHeight="1" outlineLevel="1">
      <c r="B157" s="28"/>
      <c r="C157" s="28"/>
      <c r="D157" s="27"/>
      <c r="E157" s="27"/>
      <c r="F157" s="27"/>
      <c r="G157" s="27"/>
      <c r="H157" s="27"/>
      <c r="I157" s="27"/>
      <c r="J157" s="27"/>
      <c r="K157" s="27"/>
    </row>
    <row r="158" spans="1:15" ht="15" customHeight="1" outlineLevel="1" thickBot="1">
      <c r="B158" s="24" t="s">
        <v>15</v>
      </c>
      <c r="C158" s="24"/>
      <c r="D158" s="26">
        <f t="shared" ref="D158:K158" si="7">+D$5</f>
        <v>-2</v>
      </c>
      <c r="E158" s="26">
        <f t="shared" si="7"/>
        <v>-1</v>
      </c>
      <c r="F158" s="26">
        <f t="shared" si="7"/>
        <v>0</v>
      </c>
      <c r="G158" s="25">
        <f t="shared" si="7"/>
        <v>1</v>
      </c>
      <c r="H158" s="25">
        <f t="shared" si="7"/>
        <v>2</v>
      </c>
      <c r="I158" s="25">
        <f t="shared" si="7"/>
        <v>3</v>
      </c>
      <c r="J158" s="25">
        <f t="shared" si="7"/>
        <v>4</v>
      </c>
      <c r="K158" s="25">
        <f t="shared" si="7"/>
        <v>5</v>
      </c>
    </row>
    <row r="159" spans="1:15" ht="15" customHeight="1" outlineLevel="1">
      <c r="B159" s="24"/>
      <c r="C159" s="24"/>
      <c r="D159" s="23"/>
      <c r="E159" s="23"/>
      <c r="F159" s="23"/>
      <c r="G159" s="23"/>
      <c r="H159" s="23"/>
      <c r="I159" s="23"/>
      <c r="J159" s="23"/>
      <c r="K159" s="23"/>
    </row>
    <row r="160" spans="1:15" ht="15" customHeight="1" outlineLevel="1">
      <c r="B160" s="17" t="s">
        <v>27</v>
      </c>
      <c r="C160" s="17"/>
      <c r="D160" s="49"/>
      <c r="E160" s="49"/>
      <c r="F160" s="49"/>
      <c r="G160" s="49"/>
      <c r="H160" s="49"/>
      <c r="I160" s="49"/>
      <c r="J160" s="49"/>
      <c r="K160" s="49"/>
    </row>
    <row r="161" spans="2:15" ht="15" customHeight="1" outlineLevel="1" thickBot="1">
      <c r="B161" s="17" t="s">
        <v>29</v>
      </c>
      <c r="C161" s="17"/>
      <c r="D161" s="22"/>
      <c r="E161" s="22"/>
      <c r="F161" s="22"/>
      <c r="G161" s="22"/>
      <c r="H161" s="22"/>
      <c r="I161" s="22"/>
      <c r="J161" s="22"/>
      <c r="K161" s="22"/>
      <c r="M161" s="137" t="s">
        <v>107</v>
      </c>
      <c r="N161" s="136" t="s">
        <v>106</v>
      </c>
      <c r="O161" s="135" t="s">
        <v>105</v>
      </c>
    </row>
    <row r="162" spans="2:15" ht="15" customHeight="1" outlineLevel="1">
      <c r="B162" s="15" t="s">
        <v>19</v>
      </c>
      <c r="D162" s="48">
        <f>Model!D158-Model!D157</f>
        <v>-61557</v>
      </c>
      <c r="E162" s="48">
        <f>Model!D158</f>
        <v>27696</v>
      </c>
      <c r="F162" s="48">
        <f>Model!E158</f>
        <v>630</v>
      </c>
      <c r="G162" s="48">
        <f>Model!F158</f>
        <v>71244</v>
      </c>
      <c r="H162" s="48">
        <f>Model!G158</f>
        <v>33190</v>
      </c>
      <c r="I162" s="48">
        <f>Model!H158</f>
        <v>33190</v>
      </c>
      <c r="J162" s="48">
        <f>Model!I158</f>
        <v>33190</v>
      </c>
      <c r="K162" s="48">
        <f>Model!J158</f>
        <v>33190</v>
      </c>
      <c r="M162" s="129">
        <f>SUM(Model!D156:K156)</f>
        <v>170773</v>
      </c>
      <c r="N162" s="128">
        <f>SUM(D162:K162)</f>
        <v>170773</v>
      </c>
      <c r="O162" s="127" cm="1">
        <f t="array" ref="O162">IF(SUM(ISBLANK(Model!D156:K156)*1)&gt;0,0,IF(M162=N162,1,0))</f>
        <v>1</v>
      </c>
    </row>
    <row r="163" spans="2:15" ht="15" customHeight="1" outlineLevel="1">
      <c r="B163" s="15" t="s">
        <v>22</v>
      </c>
      <c r="D163" s="47">
        <f>D109</f>
        <v>0</v>
      </c>
      <c r="E163" s="16">
        <f>Model!E158-Model!E156</f>
        <v>-27066</v>
      </c>
      <c r="F163" s="16">
        <f>Model!F158-Model!F156</f>
        <v>70614</v>
      </c>
      <c r="G163" s="16">
        <f>Model!G158-Model!G156</f>
        <v>-38054</v>
      </c>
      <c r="H163" s="16">
        <f>Model!H158-Model!H156</f>
        <v>0</v>
      </c>
      <c r="I163" s="16">
        <f>Model!I158-Model!I156</f>
        <v>0</v>
      </c>
      <c r="J163" s="16">
        <f>Model!J158-Model!J156</f>
        <v>0</v>
      </c>
      <c r="K163" s="16">
        <f>Model!K158-Model!K156</f>
        <v>0</v>
      </c>
      <c r="M163" s="129">
        <f>SUM(Model!E157:K157)</f>
        <v>5494</v>
      </c>
      <c r="N163" s="128">
        <f>SUM(E163:K163)</f>
        <v>5494</v>
      </c>
      <c r="O163" s="127" cm="1">
        <f t="array" ref="O163">IF(SUM(ISBLANK(Model!E157:K157)*1)&gt;0,0,IF(M163=N163,1,0))</f>
        <v>1</v>
      </c>
    </row>
    <row r="164" spans="2:15" ht="15" customHeight="1" outlineLevel="1">
      <c r="B164" s="34" t="s">
        <v>28</v>
      </c>
      <c r="C164" s="17"/>
      <c r="D164" s="32">
        <f>Model!D22</f>
        <v>27696</v>
      </c>
      <c r="E164" s="32">
        <f>Model!E22</f>
        <v>630</v>
      </c>
      <c r="F164" s="32">
        <f>Model!F22</f>
        <v>71244</v>
      </c>
      <c r="G164" s="32">
        <f>Model!G22</f>
        <v>33190</v>
      </c>
      <c r="H164" s="32">
        <f>Model!H22</f>
        <v>33190</v>
      </c>
      <c r="I164" s="32">
        <f>Model!I22</f>
        <v>33190</v>
      </c>
      <c r="J164" s="32">
        <f>Model!J22</f>
        <v>33190</v>
      </c>
      <c r="K164" s="32">
        <f>Model!K22</f>
        <v>33190</v>
      </c>
      <c r="M164" s="126">
        <f>SUM(Model!D158:K158)</f>
        <v>265520</v>
      </c>
      <c r="N164" s="125">
        <f>SUM(D164:K164)</f>
        <v>265520</v>
      </c>
      <c r="O164" s="124" cm="1">
        <f t="array" ref="O164">IF(SUM(ISBLANK(Model!D158:K158)*1)&gt;0,0,IF(M164=N164,1,0))</f>
        <v>1</v>
      </c>
    </row>
    <row r="165" spans="2:15" ht="15" customHeight="1" outlineLevel="1">
      <c r="B165" s="8" t="s">
        <v>27</v>
      </c>
      <c r="D165" s="22"/>
      <c r="E165" s="22"/>
      <c r="F165" s="22"/>
      <c r="G165" s="22"/>
      <c r="H165" s="22"/>
      <c r="I165" s="22"/>
      <c r="J165" s="22"/>
      <c r="K165" s="22"/>
    </row>
    <row r="166" spans="2:15" ht="15" customHeight="1" outlineLevel="1">
      <c r="B166" s="15" t="s">
        <v>26</v>
      </c>
      <c r="C166" s="17"/>
      <c r="D166" s="46">
        <f>Model!D14</f>
        <v>0.45410889659156556</v>
      </c>
      <c r="E166" s="45">
        <f>Model!E14</f>
        <v>5.1683965261597117E-2</v>
      </c>
      <c r="F166" s="45">
        <f>Model!F14</f>
        <v>0.28349611820686199</v>
      </c>
      <c r="G166" s="45">
        <f>Model!G14</f>
        <v>0.26309632668667488</v>
      </c>
      <c r="H166" s="45">
        <f>Model!H14</f>
        <v>0.26309632668667488</v>
      </c>
      <c r="I166" s="45">
        <f>Model!I14</f>
        <v>0.26309632668667488</v>
      </c>
      <c r="J166" s="45">
        <f>Model!J14</f>
        <v>0.26309632668667488</v>
      </c>
      <c r="K166" s="44">
        <f>Model!K14</f>
        <v>0.26309632668667488</v>
      </c>
      <c r="M166" s="140">
        <f>SUM(Model!D160:K160)</f>
        <v>2.104770613493399</v>
      </c>
      <c r="N166" s="139">
        <f>SUM(D166:K166)</f>
        <v>2.104770613493399</v>
      </c>
      <c r="O166" s="138" cm="1">
        <f t="array" ref="O166">IF(SUM(ISBLANK(Model!D160:K160)*1)&gt;0,0,IF(M166=N166,1,0))</f>
        <v>1</v>
      </c>
    </row>
    <row r="167" spans="2:15" ht="15" customHeight="1" outlineLevel="1">
      <c r="B167" s="15"/>
      <c r="C167" s="17"/>
      <c r="D167" s="43"/>
      <c r="E167" s="43"/>
      <c r="F167" s="43"/>
      <c r="G167" s="43"/>
      <c r="H167" s="43"/>
      <c r="I167" s="43"/>
      <c r="J167" s="43"/>
      <c r="K167" s="43"/>
    </row>
    <row r="168" spans="2:15" ht="15" customHeight="1" outlineLevel="1">
      <c r="B168" s="15" t="s">
        <v>25</v>
      </c>
      <c r="D168" s="16">
        <f>-Model!D40</f>
        <v>-12577</v>
      </c>
      <c r="E168" s="16">
        <f>-Model!E40</f>
        <v>732</v>
      </c>
      <c r="F168" s="16">
        <f>-Model!F40</f>
        <v>10188</v>
      </c>
      <c r="G168" s="16">
        <f>Model!G160*AVERAGE(Model!G158,Model!G156)</f>
        <v>13738.100890598102</v>
      </c>
      <c r="H168" s="16">
        <f>Model!H160*AVERAGE(Model!H158,Model!H156)</f>
        <v>8732.1670827307389</v>
      </c>
      <c r="I168" s="16">
        <f>Model!I160*AVERAGE(Model!I158,Model!I156)</f>
        <v>8732.1670827307389</v>
      </c>
      <c r="J168" s="16">
        <f>Model!J160*AVERAGE(Model!J158,Model!J156)</f>
        <v>8732.1670827307389</v>
      </c>
      <c r="K168" s="16">
        <f>Model!K160*AVERAGE(Model!K158,Model!K156)</f>
        <v>8732.1670827307389</v>
      </c>
      <c r="M168" s="132">
        <f>SUM(Model!D162:K162)</f>
        <v>-47009.769221521055</v>
      </c>
      <c r="N168" s="131">
        <f>SUM(D168:K168)</f>
        <v>47009.769221521055</v>
      </c>
      <c r="O168" s="130" cm="1">
        <f t="array" ref="O168">IF(SUM(ISBLANK(Model!D162:K162)*1)&gt;0,0,IF(M168=N168,1,0))</f>
        <v>0</v>
      </c>
    </row>
    <row r="169" spans="2:15" ht="15" customHeight="1" outlineLevel="1">
      <c r="B169" s="34" t="s">
        <v>24</v>
      </c>
      <c r="C169" s="17"/>
      <c r="D169" s="32">
        <f>SUM(Model!D162)</f>
        <v>12577</v>
      </c>
      <c r="E169" s="32">
        <f>SUM(Model!E162)</f>
        <v>-732</v>
      </c>
      <c r="F169" s="32">
        <f>SUM(Model!F162)</f>
        <v>-10188</v>
      </c>
      <c r="G169" s="32">
        <f>SUM(Model!G162)</f>
        <v>-13738.100890598102</v>
      </c>
      <c r="H169" s="32">
        <f>SUM(Model!H162)</f>
        <v>-8732.1670827307389</v>
      </c>
      <c r="I169" s="32">
        <f>SUM(Model!I162)</f>
        <v>-8732.1670827307389</v>
      </c>
      <c r="J169" s="32">
        <f>SUM(Model!J162)</f>
        <v>-8732.1670827307389</v>
      </c>
      <c r="K169" s="32">
        <f>SUM(Model!K162)</f>
        <v>-8732.1670827307389</v>
      </c>
      <c r="M169" s="126">
        <f>SUM(Model!D163:K163)</f>
        <v>-47009.769221521055</v>
      </c>
      <c r="N169" s="125">
        <f>SUM(D169:K169)</f>
        <v>-47009.769221521055</v>
      </c>
      <c r="O169" s="124" cm="1">
        <f t="array" ref="O169">IF(SUM(ISBLANK(Model!D163:K163)*1)&gt;0,0,IF(M169=N169,1,0))</f>
        <v>1</v>
      </c>
    </row>
    <row r="170" spans="2:15" ht="15" customHeight="1" outlineLevel="1">
      <c r="D170" s="22"/>
      <c r="E170" s="22"/>
      <c r="F170" s="22"/>
      <c r="G170" s="22"/>
      <c r="H170" s="22"/>
      <c r="I170" s="22"/>
      <c r="J170" s="22"/>
      <c r="K170" s="22"/>
    </row>
    <row r="171" spans="2:15" ht="15" customHeight="1" outlineLevel="1">
      <c r="B171" s="17" t="s">
        <v>23</v>
      </c>
      <c r="D171" s="22"/>
      <c r="E171" s="22"/>
      <c r="F171" s="22"/>
      <c r="G171" s="22"/>
      <c r="H171" s="22"/>
      <c r="I171" s="22"/>
      <c r="J171" s="22"/>
      <c r="K171" s="22"/>
    </row>
    <row r="172" spans="2:15" ht="15" customHeight="1" outlineLevel="1">
      <c r="B172" s="15" t="s">
        <v>19</v>
      </c>
      <c r="D172" s="42">
        <f>Model!D168-Model!D167</f>
        <v>250000</v>
      </c>
      <c r="E172" s="42">
        <f>Model!D168</f>
        <v>250000</v>
      </c>
      <c r="F172" s="42">
        <f>Model!E168</f>
        <v>250000</v>
      </c>
      <c r="G172" s="42">
        <f>Model!F168</f>
        <v>250000</v>
      </c>
      <c r="H172" s="42">
        <f>Model!G168</f>
        <v>250000</v>
      </c>
      <c r="I172" s="42">
        <f>Model!H168</f>
        <v>250000</v>
      </c>
      <c r="J172" s="42">
        <f>Model!I168</f>
        <v>250000</v>
      </c>
      <c r="K172" s="42">
        <f>Model!J168</f>
        <v>250000</v>
      </c>
      <c r="M172" s="132">
        <f>SUM(Model!D166:K166)</f>
        <v>2000000</v>
      </c>
      <c r="N172" s="131">
        <f>SUM(D172:K172)</f>
        <v>2000000</v>
      </c>
      <c r="O172" s="130" cm="1">
        <f t="array" ref="O172">IF(SUM(ISBLANK(Model!D166:K166)*1)&gt;0,0,IF(M172=N172,1,0))</f>
        <v>1</v>
      </c>
    </row>
    <row r="173" spans="2:15" ht="15" customHeight="1" outlineLevel="1">
      <c r="B173" s="15" t="s">
        <v>22</v>
      </c>
      <c r="D173" s="22">
        <f>D107</f>
        <v>0</v>
      </c>
      <c r="E173" s="42">
        <f>Model!E168-Model!E166</f>
        <v>0</v>
      </c>
      <c r="F173" s="42">
        <f>Model!F168-Model!F166</f>
        <v>0</v>
      </c>
      <c r="G173" s="42">
        <f>Model!G168-Model!G166</f>
        <v>0</v>
      </c>
      <c r="H173" s="42">
        <f>Model!H168-Model!H166</f>
        <v>0</v>
      </c>
      <c r="I173" s="42">
        <f>Model!I168-Model!I166</f>
        <v>0</v>
      </c>
      <c r="J173" s="42">
        <f>Model!J168-Model!J166</f>
        <v>0</v>
      </c>
      <c r="K173" s="42">
        <f>Model!K168-Model!K166</f>
        <v>0</v>
      </c>
      <c r="M173" s="129">
        <f>SUM(Model!E167:K167)</f>
        <v>0</v>
      </c>
      <c r="N173" s="128">
        <f>SUM(E173:K173)</f>
        <v>0</v>
      </c>
      <c r="O173" s="127" cm="1">
        <f t="array" ref="O173">IF(SUM(ISBLANK(Model!E167:K167)*1)&gt;0,0,IF(M173=N173,1,0))</f>
        <v>1</v>
      </c>
    </row>
    <row r="174" spans="2:15" ht="15" customHeight="1" outlineLevel="1">
      <c r="B174" s="34" t="s">
        <v>21</v>
      </c>
      <c r="D174" s="41">
        <f>Model!D23</f>
        <v>250000</v>
      </c>
      <c r="E174" s="41">
        <f>Model!E23</f>
        <v>250000</v>
      </c>
      <c r="F174" s="41">
        <f>Model!F23</f>
        <v>250000</v>
      </c>
      <c r="G174" s="41">
        <f>Model!G23</f>
        <v>250000</v>
      </c>
      <c r="H174" s="41">
        <f>Model!H23</f>
        <v>250000</v>
      </c>
      <c r="I174" s="41">
        <f>Model!I23</f>
        <v>250000</v>
      </c>
      <c r="J174" s="41">
        <f>Model!J23</f>
        <v>250000</v>
      </c>
      <c r="K174" s="41">
        <f>Model!K23</f>
        <v>250000</v>
      </c>
      <c r="M174" s="126">
        <f>SUM(Model!D168:K168)</f>
        <v>2000000</v>
      </c>
      <c r="N174" s="125">
        <f>SUM(D174:K174)</f>
        <v>2000000</v>
      </c>
      <c r="O174" s="124" cm="1">
        <f t="array" ref="O174">IF(SUM(ISBLANK(Model!D168:K168)*1)&gt;0,0,IF(M174=N174,1,0))</f>
        <v>1</v>
      </c>
    </row>
    <row r="175" spans="2:15" ht="15" customHeight="1" outlineLevel="1">
      <c r="D175" s="22"/>
      <c r="E175" s="22"/>
      <c r="F175" s="22"/>
      <c r="G175" s="22"/>
      <c r="H175" s="22"/>
      <c r="I175" s="22"/>
      <c r="J175" s="22"/>
      <c r="K175" s="22"/>
    </row>
    <row r="176" spans="2:15" ht="15" customHeight="1" outlineLevel="1">
      <c r="B176" s="15" t="s">
        <v>11</v>
      </c>
      <c r="D176" s="40">
        <f>Model!D44</f>
        <v>44032</v>
      </c>
      <c r="E176" s="39">
        <f>Model!E44</f>
        <v>45749</v>
      </c>
      <c r="F176" s="39">
        <f>Model!F44</f>
        <v>41459</v>
      </c>
      <c r="G176" s="39">
        <f>Model!G44</f>
        <v>35553.340825905172</v>
      </c>
      <c r="H176" s="39">
        <f>Model!H44</f>
        <v>40919.849527820188</v>
      </c>
      <c r="I176" s="39">
        <f>Model!I44</f>
        <v>42804.637054082552</v>
      </c>
      <c r="J176" s="39">
        <f>Model!J44</f>
        <v>44764.816081395402</v>
      </c>
      <c r="K176" s="38">
        <f>Model!K44</f>
        <v>46803.402269800761</v>
      </c>
      <c r="M176" s="132">
        <f>SUM(Model!D170:K170)</f>
        <v>342086.04575900408</v>
      </c>
      <c r="N176" s="131">
        <f>SUM(D176:K176)</f>
        <v>342086.04575900408</v>
      </c>
      <c r="O176" s="130" cm="1">
        <f t="array" ref="O176">IF(SUM(ISBLANK(Model!D170:K170)*1)&gt;0,0,IF(M176=N176,1,0))</f>
        <v>1</v>
      </c>
    </row>
    <row r="177" spans="1:15" ht="15" customHeight="1" outlineLevel="1">
      <c r="B177" s="15" t="s">
        <v>18</v>
      </c>
      <c r="D177" s="37">
        <f>Model!D46</f>
        <v>27000</v>
      </c>
      <c r="E177" s="36">
        <f>Model!E46</f>
        <v>39375</v>
      </c>
      <c r="F177" s="36">
        <f>Model!F46</f>
        <v>41250</v>
      </c>
      <c r="G177" s="36">
        <f>Model!G46</f>
        <v>29258.311715976695</v>
      </c>
      <c r="H177" s="36">
        <f>Model!H46</f>
        <v>33674.633242439981</v>
      </c>
      <c r="I177" s="36">
        <f>Model!I46</f>
        <v>35225.702696975968</v>
      </c>
      <c r="J177" s="36">
        <f>Model!J46</f>
        <v>36838.814929693392</v>
      </c>
      <c r="K177" s="35">
        <f>Model!K46</f>
        <v>38516.451651719508</v>
      </c>
      <c r="M177" s="126">
        <f>SUM(Model!D171:K171)</f>
        <v>281138.91423680552</v>
      </c>
      <c r="N177" s="125">
        <f>SUM(D177:K177)</f>
        <v>281138.91423680552</v>
      </c>
      <c r="O177" s="124" cm="1">
        <f t="array" ref="O177">IF(SUM(ISBLANK(Model!D171:K171)*1)&gt;0,0,IF(M177=N177,1,0))</f>
        <v>1</v>
      </c>
    </row>
    <row r="178" spans="1:15" ht="15" customHeight="1" outlineLevel="1">
      <c r="D178" s="22"/>
      <c r="E178" s="22"/>
      <c r="F178" s="22"/>
      <c r="G178" s="22"/>
      <c r="H178" s="22"/>
      <c r="I178" s="22"/>
      <c r="J178" s="22"/>
      <c r="K178" s="22"/>
    </row>
    <row r="179" spans="1:15" ht="15" customHeight="1" outlineLevel="1">
      <c r="B179" s="17" t="s">
        <v>20</v>
      </c>
      <c r="C179" s="17"/>
      <c r="D179" s="22"/>
      <c r="E179" s="22"/>
      <c r="F179" s="22"/>
      <c r="G179" s="22"/>
      <c r="H179" s="22"/>
      <c r="I179" s="22"/>
      <c r="J179" s="22"/>
      <c r="K179" s="22"/>
    </row>
    <row r="180" spans="1:15" ht="15" customHeight="1" outlineLevel="1">
      <c r="B180" s="15" t="s">
        <v>19</v>
      </c>
      <c r="D180" s="16">
        <f>Model!D177-Model!D176-Model!D175</f>
        <v>31358</v>
      </c>
      <c r="E180" s="16">
        <f>Model!D177</f>
        <v>48390</v>
      </c>
      <c r="F180" s="16">
        <f>Model!E177</f>
        <v>54764</v>
      </c>
      <c r="G180" s="16">
        <f>Model!F177</f>
        <v>54973</v>
      </c>
      <c r="H180" s="16">
        <f>Model!G177</f>
        <v>61268.02910992848</v>
      </c>
      <c r="I180" s="16">
        <f>Model!H177</f>
        <v>68513.245395308681</v>
      </c>
      <c r="J180" s="16">
        <f>Model!I177</f>
        <v>76092.179752415279</v>
      </c>
      <c r="K180" s="16">
        <f>Model!J177</f>
        <v>84018.180904117296</v>
      </c>
      <c r="M180" s="132">
        <f>SUM(Model!D174:K174)</f>
        <v>479376.63516176969</v>
      </c>
      <c r="N180" s="131">
        <f>SUM(D180:K180)</f>
        <v>479376.63516176969</v>
      </c>
      <c r="O180" s="130" cm="1">
        <f t="array" ref="O180">IF(SUM(ISBLANK(Model!D174:K174)*1)&gt;0,0,IF(M180=N180,1,0))</f>
        <v>1</v>
      </c>
    </row>
    <row r="181" spans="1:15" ht="15" customHeight="1" outlineLevel="1">
      <c r="B181" s="15" t="s">
        <v>11</v>
      </c>
      <c r="D181" s="16">
        <f>Model!D170</f>
        <v>44032</v>
      </c>
      <c r="E181" s="16">
        <f>Model!E170</f>
        <v>45749</v>
      </c>
      <c r="F181" s="16">
        <f>Model!F170</f>
        <v>41459</v>
      </c>
      <c r="G181" s="16">
        <f>Model!G170</f>
        <v>35553.340825905172</v>
      </c>
      <c r="H181" s="16">
        <f>Model!H170</f>
        <v>40919.849527820188</v>
      </c>
      <c r="I181" s="16">
        <f>Model!I170</f>
        <v>42804.637054082552</v>
      </c>
      <c r="J181" s="16">
        <f>Model!J170</f>
        <v>44764.816081395402</v>
      </c>
      <c r="K181" s="16">
        <f>Model!K170</f>
        <v>46803.402269800761</v>
      </c>
      <c r="M181" s="129">
        <f>SUM(Model!D175:K175)</f>
        <v>342086.04575900408</v>
      </c>
      <c r="N181" s="128">
        <f>SUM(D181:K181)</f>
        <v>342086.04575900408</v>
      </c>
      <c r="O181" s="127" cm="1">
        <f t="array" ref="O181">IF(SUM(ISBLANK(Model!D175:K175)*1)&gt;0,0,IF(M181=N181,1,0))</f>
        <v>1</v>
      </c>
    </row>
    <row r="182" spans="1:15" ht="15" customHeight="1" outlineLevel="1">
      <c r="B182" s="15" t="s">
        <v>18</v>
      </c>
      <c r="D182" s="16">
        <f>-Model!D171</f>
        <v>-27000</v>
      </c>
      <c r="E182" s="16">
        <f>-Model!E171</f>
        <v>-39375</v>
      </c>
      <c r="F182" s="16">
        <f>-Model!F171</f>
        <v>-41250</v>
      </c>
      <c r="G182" s="16">
        <f>-Model!G171</f>
        <v>-29258.311715976695</v>
      </c>
      <c r="H182" s="16">
        <f>-Model!H171</f>
        <v>-33674.633242439981</v>
      </c>
      <c r="I182" s="16">
        <f>-Model!I171</f>
        <v>-35225.702696975968</v>
      </c>
      <c r="J182" s="16">
        <f>-Model!J171</f>
        <v>-36838.814929693392</v>
      </c>
      <c r="K182" s="16">
        <f>-Model!K171</f>
        <v>-38516.451651719508</v>
      </c>
      <c r="M182" s="129">
        <f>SUM(Model!D176:K176)</f>
        <v>-281138.91423680552</v>
      </c>
      <c r="N182" s="128">
        <f>SUM(D182:K182)</f>
        <v>-281138.91423680552</v>
      </c>
      <c r="O182" s="127" cm="1">
        <f t="array" ref="O182">IF(SUM(ISBLANK(Model!D176:K176)*1)&gt;0,0,IF(M182=N182,1,0))</f>
        <v>1</v>
      </c>
    </row>
    <row r="183" spans="1:15" ht="15" customHeight="1" outlineLevel="1">
      <c r="B183" s="34" t="s">
        <v>17</v>
      </c>
      <c r="C183" s="17"/>
      <c r="D183" s="33">
        <f>Model!D79</f>
        <v>48390</v>
      </c>
      <c r="E183" s="32">
        <f>SUM(Model!E174:E176)</f>
        <v>54764</v>
      </c>
      <c r="F183" s="32">
        <f>SUM(Model!F174:F176)</f>
        <v>54973</v>
      </c>
      <c r="G183" s="32">
        <f>SUM(Model!G174:G176)</f>
        <v>61268.02910992848</v>
      </c>
      <c r="H183" s="32">
        <f>SUM(Model!H174:H176)</f>
        <v>68513.245395308681</v>
      </c>
      <c r="I183" s="32">
        <f>SUM(Model!I174:I176)</f>
        <v>76092.179752415279</v>
      </c>
      <c r="J183" s="32">
        <f>SUM(Model!J174:J176)</f>
        <v>84018.180904117296</v>
      </c>
      <c r="K183" s="32">
        <f>SUM(Model!K174:K176)</f>
        <v>92305.131522198557</v>
      </c>
      <c r="M183" s="126">
        <f>SUM(Model!D177:K177)</f>
        <v>540323.76668396825</v>
      </c>
      <c r="N183" s="125">
        <f>SUM(D183:K183)</f>
        <v>540323.76668396825</v>
      </c>
      <c r="O183" s="124" cm="1">
        <f t="array" ref="O183">IF(SUM(ISBLANK(Model!D177:K177)*1)&gt;0,0,IF(M183=N183,1,0))</f>
        <v>1</v>
      </c>
    </row>
    <row r="184" spans="1:15" ht="15" customHeight="1" outlineLevel="1">
      <c r="B184" s="17"/>
      <c r="C184" s="17"/>
      <c r="D184" s="31"/>
      <c r="E184" s="31"/>
      <c r="F184" s="31"/>
      <c r="G184" s="31"/>
      <c r="H184" s="31"/>
      <c r="I184" s="31"/>
      <c r="J184" s="31"/>
      <c r="K184" s="31"/>
    </row>
    <row r="185" spans="1:15" ht="15" customHeight="1" outlineLevel="1">
      <c r="B185" s="9"/>
      <c r="C185" s="9"/>
      <c r="D185" s="30"/>
      <c r="E185" s="30"/>
      <c r="F185" s="30"/>
      <c r="G185" s="30"/>
      <c r="H185" s="30"/>
      <c r="I185" s="30"/>
      <c r="J185" s="30"/>
      <c r="K185" s="30"/>
    </row>
    <row r="186" spans="1:15" ht="15" customHeight="1">
      <c r="D186" s="22"/>
      <c r="E186" s="22"/>
      <c r="F186" s="22"/>
      <c r="G186" s="22"/>
      <c r="H186" s="22"/>
      <c r="I186" s="22"/>
      <c r="J186" s="22"/>
      <c r="K186" s="22"/>
    </row>
    <row r="187" spans="1:15" s="12" customFormat="1" ht="15" customHeight="1">
      <c r="A187" s="12" t="s">
        <v>0</v>
      </c>
      <c r="B187" s="29" t="s">
        <v>16</v>
      </c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5" s="12" customFormat="1" ht="15" customHeight="1" outlineLevel="1">
      <c r="B188" s="28"/>
      <c r="C188" s="28"/>
      <c r="D188" s="27"/>
      <c r="E188" s="27"/>
      <c r="F188" s="27"/>
      <c r="G188" s="27"/>
      <c r="H188" s="27"/>
      <c r="I188" s="27"/>
      <c r="J188" s="27"/>
      <c r="K188" s="27"/>
    </row>
    <row r="189" spans="1:15" ht="15" customHeight="1" outlineLevel="1" thickBot="1">
      <c r="B189" s="24" t="s">
        <v>15</v>
      </c>
      <c r="C189" s="24"/>
      <c r="D189" s="26">
        <f t="shared" ref="D189:K189" si="8">+D$5</f>
        <v>-2</v>
      </c>
      <c r="E189" s="26">
        <f t="shared" si="8"/>
        <v>-1</v>
      </c>
      <c r="F189" s="26">
        <f t="shared" si="8"/>
        <v>0</v>
      </c>
      <c r="G189" s="25">
        <f t="shared" si="8"/>
        <v>1</v>
      </c>
      <c r="H189" s="25">
        <f t="shared" si="8"/>
        <v>2</v>
      </c>
      <c r="I189" s="25">
        <f t="shared" si="8"/>
        <v>3</v>
      </c>
      <c r="J189" s="25">
        <f t="shared" si="8"/>
        <v>4</v>
      </c>
      <c r="K189" s="25">
        <f t="shared" si="8"/>
        <v>5</v>
      </c>
    </row>
    <row r="190" spans="1:15" ht="15" customHeight="1" outlineLevel="1">
      <c r="B190" s="24"/>
      <c r="C190" s="24"/>
      <c r="D190" s="23"/>
      <c r="E190" s="23"/>
      <c r="F190" s="23"/>
      <c r="G190" s="23"/>
      <c r="H190" s="23"/>
      <c r="I190" s="23"/>
      <c r="J190" s="23"/>
      <c r="K190" s="23"/>
    </row>
    <row r="191" spans="1:15" ht="15" customHeight="1" outlineLevel="1" thickBot="1">
      <c r="B191" s="17" t="s">
        <v>4</v>
      </c>
      <c r="C191" s="17"/>
      <c r="D191" s="22"/>
      <c r="E191" s="22"/>
      <c r="F191" s="22"/>
      <c r="G191" s="22"/>
      <c r="H191" s="22"/>
      <c r="I191" s="22"/>
      <c r="J191" s="22"/>
      <c r="K191" s="22"/>
      <c r="M191" s="137" t="s">
        <v>107</v>
      </c>
      <c r="N191" s="136" t="s">
        <v>106</v>
      </c>
      <c r="O191" s="135" t="s">
        <v>105</v>
      </c>
    </row>
    <row r="192" spans="1:15" ht="15" customHeight="1" outlineLevel="1">
      <c r="B192" s="15" t="s">
        <v>14</v>
      </c>
      <c r="D192" s="16">
        <f>Model!D32</f>
        <v>347568</v>
      </c>
      <c r="E192" s="16">
        <f>Model!E32</f>
        <v>360716</v>
      </c>
      <c r="F192" s="16">
        <f>Model!F32</f>
        <v>361252</v>
      </c>
      <c r="G192" s="16">
        <f>Model!G32</f>
        <v>375702.08</v>
      </c>
      <c r="H192" s="16">
        <f>Model!H32</f>
        <v>390730.16320000001</v>
      </c>
      <c r="I192" s="16">
        <f>Model!I32</f>
        <v>406359.36972800002</v>
      </c>
      <c r="J192" s="16">
        <f>Model!J32</f>
        <v>422613.74451712001</v>
      </c>
      <c r="K192" s="16">
        <f>Model!K32</f>
        <v>439518.29429780482</v>
      </c>
      <c r="M192" s="129">
        <f>SUM(Model!D186:K186)</f>
        <v>0</v>
      </c>
      <c r="N192" s="128">
        <f>SUM(D192:K192)</f>
        <v>3104459.6517429249</v>
      </c>
      <c r="O192" s="127" cm="1">
        <f t="array" ref="O192">IF(SUM(ISBLANK(Model!D186:K186)*1)&gt;0,0,IF(M192=N192,1,0))</f>
        <v>0</v>
      </c>
    </row>
    <row r="193" spans="1:15" ht="15" customHeight="1" outlineLevel="1">
      <c r="B193" s="15" t="s">
        <v>13</v>
      </c>
      <c r="D193" s="16">
        <f>Model!D38-Model!D37</f>
        <v>135910</v>
      </c>
      <c r="E193" s="16">
        <f>Model!E38-Model!E37</f>
        <v>146466</v>
      </c>
      <c r="F193" s="16">
        <f>Model!F38-Model!F37</f>
        <v>149016</v>
      </c>
      <c r="G193" s="16">
        <f>Model!G38-Model!G37</f>
        <v>151479.64428270189</v>
      </c>
      <c r="H193" s="16">
        <f>Model!H38-Model!H37</f>
        <v>157538.83005400997</v>
      </c>
      <c r="I193" s="16">
        <f>Model!I38-Model!I37</f>
        <v>163840.38325617037</v>
      </c>
      <c r="J193" s="16">
        <f>Model!J38-Model!J37</f>
        <v>170393.99858641718</v>
      </c>
      <c r="K193" s="16">
        <f>Model!K38-Model!K37</f>
        <v>177209.75852987386</v>
      </c>
      <c r="M193" s="129">
        <f>SUM(Model!D187:K187)</f>
        <v>0</v>
      </c>
      <c r="N193" s="128">
        <f>SUM(D193:K193)</f>
        <v>1251854.6147091733</v>
      </c>
      <c r="O193" s="127" cm="1">
        <f t="array" ref="O193">IF(SUM(ISBLANK(Model!D187:K187)*1)&gt;0,0,IF(M193=N193,1,0))</f>
        <v>0</v>
      </c>
    </row>
    <row r="194" spans="1:15" ht="15" customHeight="1" outlineLevel="1">
      <c r="B194" s="20" t="s">
        <v>12</v>
      </c>
      <c r="C194" s="19"/>
      <c r="D194" s="18" t="e">
        <f>Model!D187/Model!D186</f>
        <v>#DIV/0!</v>
      </c>
      <c r="E194" s="18" t="e">
        <f>Model!E187/Model!E186</f>
        <v>#DIV/0!</v>
      </c>
      <c r="F194" s="18" t="e">
        <f>Model!F187/Model!F186</f>
        <v>#DIV/0!</v>
      </c>
      <c r="G194" s="18" t="e">
        <f>Model!G187/Model!G186</f>
        <v>#DIV/0!</v>
      </c>
      <c r="H194" s="18" t="e">
        <f>Model!H187/Model!H186</f>
        <v>#DIV/0!</v>
      </c>
      <c r="I194" s="18" t="e">
        <f>Model!I187/Model!I186</f>
        <v>#DIV/0!</v>
      </c>
      <c r="J194" s="18" t="e">
        <f>Model!J187/Model!J186</f>
        <v>#DIV/0!</v>
      </c>
      <c r="K194" s="18" t="e">
        <f>Model!K187/Model!K186</f>
        <v>#DIV/0!</v>
      </c>
      <c r="M194" s="134">
        <f>SUM(Model!D188:K188)</f>
        <v>0</v>
      </c>
      <c r="N194" s="133" t="e">
        <f>SUM(D194:K194)</f>
        <v>#DIV/0!</v>
      </c>
      <c r="O194" s="124" cm="1">
        <f t="array" ref="O194">IF(SUM(ISBLANK(Model!D188:K188)*1)&gt;0,0,IF(M194=N194,1,0))</f>
        <v>0</v>
      </c>
    </row>
    <row r="195" spans="1:15" ht="15" customHeight="1" outlineLevel="1">
      <c r="B195" s="20"/>
      <c r="C195" s="19"/>
      <c r="D195" s="21"/>
      <c r="E195" s="21"/>
      <c r="F195" s="21"/>
      <c r="G195" s="21"/>
      <c r="H195" s="21"/>
      <c r="I195" s="21"/>
      <c r="J195" s="21"/>
      <c r="K195" s="21"/>
    </row>
    <row r="196" spans="1:15" ht="15" customHeight="1" outlineLevel="1">
      <c r="B196" s="15" t="s">
        <v>11</v>
      </c>
      <c r="D196" s="16">
        <f>Model!D44</f>
        <v>44032</v>
      </c>
      <c r="E196" s="16">
        <f>Model!E44</f>
        <v>45749</v>
      </c>
      <c r="F196" s="16">
        <f>Model!F44</f>
        <v>41459</v>
      </c>
      <c r="G196" s="16">
        <f>Model!G44</f>
        <v>35553.340825905172</v>
      </c>
      <c r="H196" s="16">
        <f>Model!H44</f>
        <v>40919.849527820188</v>
      </c>
      <c r="I196" s="16">
        <f>Model!I44</f>
        <v>42804.637054082552</v>
      </c>
      <c r="J196" s="16">
        <f>Model!J44</f>
        <v>44764.816081395402</v>
      </c>
      <c r="K196" s="16">
        <f>Model!K44</f>
        <v>46803.402269800761</v>
      </c>
      <c r="M196" s="132">
        <f>SUM(Model!D190:K190)</f>
        <v>0</v>
      </c>
      <c r="N196" s="131">
        <f>SUM(D196:K196)</f>
        <v>342086.04575900408</v>
      </c>
      <c r="O196" s="130" cm="1">
        <f t="array" ref="O196">IF(SUM(ISBLANK(Model!D190:K190)*1)&gt;0,0,IF(M196=N196,1,0))</f>
        <v>0</v>
      </c>
    </row>
    <row r="197" spans="1:15" ht="15" customHeight="1" outlineLevel="1">
      <c r="B197" s="20" t="s">
        <v>10</v>
      </c>
      <c r="C197" s="19"/>
      <c r="D197" s="18" t="e">
        <f>Model!D190/Model!D186</f>
        <v>#DIV/0!</v>
      </c>
      <c r="E197" s="18" t="e">
        <f>Model!E190/Model!E186</f>
        <v>#DIV/0!</v>
      </c>
      <c r="F197" s="18" t="e">
        <f>Model!F190/Model!F186</f>
        <v>#DIV/0!</v>
      </c>
      <c r="G197" s="18" t="e">
        <f>Model!G190/Model!G186</f>
        <v>#DIV/0!</v>
      </c>
      <c r="H197" s="18" t="e">
        <f>Model!H190/Model!H186</f>
        <v>#DIV/0!</v>
      </c>
      <c r="I197" s="18" t="e">
        <f>Model!I190/Model!I186</f>
        <v>#DIV/0!</v>
      </c>
      <c r="J197" s="18" t="e">
        <f>Model!J190/Model!J186</f>
        <v>#DIV/0!</v>
      </c>
      <c r="K197" s="18" t="e">
        <f>Model!K190/Model!K186</f>
        <v>#DIV/0!</v>
      </c>
      <c r="M197" s="134">
        <f>SUM(Model!D191:K191)</f>
        <v>0</v>
      </c>
      <c r="N197" s="133" t="e">
        <f>SUM(D197:K197)</f>
        <v>#DIV/0!</v>
      </c>
      <c r="O197" s="124" cm="1">
        <f t="array" ref="O197">IF(SUM(ISBLANK(Model!D191:K191)*1)&gt;0,0,IF(M197=N197,1,0))</f>
        <v>0</v>
      </c>
    </row>
    <row r="198" spans="1:15" ht="15" customHeight="1" outlineLevel="1"/>
    <row r="199" spans="1:15" ht="15" customHeight="1" outlineLevel="1">
      <c r="B199" s="17" t="s">
        <v>9</v>
      </c>
      <c r="C199" s="17"/>
    </row>
    <row r="200" spans="1:15" ht="15" customHeight="1" outlineLevel="1">
      <c r="B200" s="15" t="s">
        <v>8</v>
      </c>
      <c r="D200" s="16">
        <f>Model!D99</f>
        <v>-18768</v>
      </c>
      <c r="E200" s="16">
        <f>Model!E99</f>
        <v>-16985</v>
      </c>
      <c r="F200" s="16">
        <f>Model!F99</f>
        <v>-16669</v>
      </c>
      <c r="G200" s="16">
        <f>Model!G99</f>
        <v>-14521.787097904928</v>
      </c>
      <c r="H200" s="16">
        <f>Model!H99</f>
        <v>-16713.741356433598</v>
      </c>
      <c r="I200" s="16">
        <f>Model!I99</f>
        <v>-17483.584148850619</v>
      </c>
      <c r="J200" s="16">
        <f>Model!J99</f>
        <v>-18284.220652964315</v>
      </c>
      <c r="K200" s="16">
        <f>Model!K99</f>
        <v>-19116.882617242562</v>
      </c>
      <c r="M200" s="132">
        <f>SUM(Model!D194:K194)</f>
        <v>0</v>
      </c>
      <c r="N200" s="131">
        <f>SUM(D200:K200)</f>
        <v>-138542.21587339602</v>
      </c>
      <c r="O200" s="130" cm="1">
        <f t="array" ref="O200">IF(SUM(ISBLANK(Model!D194:K194)*1)&gt;0,0,IF(M200=N200,1,0))</f>
        <v>0</v>
      </c>
    </row>
    <row r="201" spans="1:15" ht="15" customHeight="1" outlineLevel="1">
      <c r="B201" s="15" t="s">
        <v>7</v>
      </c>
      <c r="D201" s="16">
        <f>Model!D106</f>
        <v>1767</v>
      </c>
      <c r="E201" s="16">
        <f>Model!E106</f>
        <v>2738</v>
      </c>
      <c r="F201" s="16">
        <f>Model!F106</f>
        <v>1695</v>
      </c>
      <c r="G201" s="16">
        <f>Model!G106</f>
        <v>2066.6666666666665</v>
      </c>
      <c r="H201" s="16">
        <f>Model!H106</f>
        <v>2166.5555555555552</v>
      </c>
      <c r="I201" s="16">
        <f>Model!I106</f>
        <v>1976.0740740740739</v>
      </c>
      <c r="J201" s="16">
        <f>Model!J106</f>
        <v>2069.7654320987654</v>
      </c>
      <c r="K201" s="16">
        <f>Model!K106</f>
        <v>2070.7983539094653</v>
      </c>
      <c r="M201" s="129">
        <f>SUM(Model!D195:K195)</f>
        <v>0</v>
      </c>
      <c r="N201" s="128">
        <f>SUM(D201:K201)</f>
        <v>16549.860082304527</v>
      </c>
      <c r="O201" s="127" cm="1">
        <f t="array" ref="O201">IF(SUM(ISBLANK(Model!D195:K195)*1)&gt;0,0,IF(M201=N201,1,0))</f>
        <v>0</v>
      </c>
    </row>
    <row r="202" spans="1:15" ht="15" customHeight="1" outlineLevel="1">
      <c r="B202" s="15" t="s">
        <v>6</v>
      </c>
      <c r="D202" s="16">
        <f>Model!D115</f>
        <v>-57492</v>
      </c>
      <c r="E202" s="16">
        <f>Model!E115</f>
        <v>-75827</v>
      </c>
      <c r="F202" s="16">
        <f>Model!F115</f>
        <v>-64950</v>
      </c>
      <c r="G202" s="16">
        <f>Model!G115</f>
        <v>-74385.811715976699</v>
      </c>
      <c r="H202" s="16">
        <f>Model!H115</f>
        <v>-70599.133242439973</v>
      </c>
      <c r="I202" s="16">
        <f>Model!I115</f>
        <v>-81329.702696975961</v>
      </c>
      <c r="J202" s="16">
        <f>Model!J115</f>
        <v>-66872.814929693384</v>
      </c>
      <c r="K202" s="16">
        <f>Model!K115</f>
        <v>-76203.951651719515</v>
      </c>
      <c r="M202" s="129">
        <f>SUM(Model!D196:K196)</f>
        <v>0</v>
      </c>
      <c r="N202" s="128">
        <f>SUM(D202:K202)</f>
        <v>-567660.41423680552</v>
      </c>
      <c r="O202" s="127" cm="1">
        <f t="array" ref="O202">IF(SUM(ISBLANK(Model!D196:K196)*1)&gt;0,0,IF(M202=N202,1,0))</f>
        <v>0</v>
      </c>
    </row>
    <row r="203" spans="1:15" ht="15" customHeight="1" outlineLevel="1" thickBot="1">
      <c r="B203" s="15" t="s">
        <v>5</v>
      </c>
      <c r="D203" s="14">
        <f>SUM(Model!D194:D196)</f>
        <v>0</v>
      </c>
      <c r="E203" s="14">
        <f>SUM(Model!E194:E196)</f>
        <v>0</v>
      </c>
      <c r="F203" s="14">
        <f>SUM(Model!F194:F196)</f>
        <v>0</v>
      </c>
      <c r="G203" s="14">
        <f>SUM(Model!G194:G196)</f>
        <v>0</v>
      </c>
      <c r="H203" s="14">
        <f>SUM(Model!H194:H196)</f>
        <v>0</v>
      </c>
      <c r="I203" s="14">
        <f>SUM(Model!I194:I196)</f>
        <v>0</v>
      </c>
      <c r="J203" s="14">
        <f>SUM(Model!J194:J196)</f>
        <v>0</v>
      </c>
      <c r="K203" s="14">
        <f>SUM(Model!K194:K196)</f>
        <v>0</v>
      </c>
      <c r="M203" s="126">
        <f>SUM(Model!D197:K197)</f>
        <v>0</v>
      </c>
      <c r="N203" s="125">
        <f>SUM(D203:K203)</f>
        <v>0</v>
      </c>
      <c r="O203" s="124" cm="1">
        <f t="array" ref="O203">IF(SUM(ISBLANK(Model!D197:K197)*1)&gt;0,0,IF(M203=N203,1,0))</f>
        <v>0</v>
      </c>
    </row>
    <row r="204" spans="1:15" ht="15" customHeight="1" outlineLevel="1"/>
    <row r="205" spans="1:15" ht="15" customHeight="1" outlineLevel="1"/>
    <row r="206" spans="1:15" ht="15" customHeight="1" outlineLevel="1">
      <c r="A206" s="12" t="s">
        <v>0</v>
      </c>
      <c r="B206" s="11" t="s">
        <v>4</v>
      </c>
      <c r="C206" s="11"/>
      <c r="D206" s="11"/>
      <c r="E206" s="11"/>
      <c r="G206" s="10" t="s">
        <v>3</v>
      </c>
      <c r="H206" s="10"/>
      <c r="I206" s="10"/>
      <c r="J206" s="10"/>
      <c r="K206" s="10"/>
    </row>
    <row r="207" spans="1:15" ht="15" customHeight="1" outlineLevel="1"/>
    <row r="208" spans="1:15" ht="15" customHeight="1" outlineLevel="1"/>
    <row r="209" spans="1:11" ht="15" customHeight="1" outlineLevel="1"/>
    <row r="210" spans="1:11" ht="15" customHeight="1" outlineLevel="1"/>
    <row r="211" spans="1:11" ht="15" customHeight="1" outlineLevel="1"/>
    <row r="212" spans="1:11" ht="15" customHeight="1" outlineLevel="1"/>
    <row r="213" spans="1:11" ht="15" customHeight="1" outlineLevel="1"/>
    <row r="214" spans="1:11" ht="15" customHeight="1" outlineLevel="1"/>
    <row r="215" spans="1:11" ht="15" customHeight="1" outlineLevel="1"/>
    <row r="216" spans="1:11" ht="15" customHeight="1" outlineLevel="1"/>
    <row r="217" spans="1:11" ht="15" customHeight="1" outlineLevel="1"/>
    <row r="218" spans="1:11" ht="15" customHeight="1" outlineLevel="1"/>
    <row r="219" spans="1:11" ht="15" customHeight="1" outlineLevel="1"/>
    <row r="220" spans="1:11" ht="15" customHeight="1" outlineLevel="1"/>
    <row r="221" spans="1:11" ht="15" customHeight="1" outlineLevel="1"/>
    <row r="222" spans="1:11" ht="15" customHeight="1" outlineLevel="1"/>
    <row r="223" spans="1:11" ht="15" customHeight="1" outlineLevel="1"/>
    <row r="224" spans="1:11" ht="15" customHeight="1" outlineLevel="1">
      <c r="A224" s="8" t="s">
        <v>0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</row>
  </sheetData>
  <conditionalFormatting sqref="D84:K84">
    <cfRule type="expression" dxfId="0" priority="1">
      <formula>D$84&lt;&gt;0</formula>
    </cfRule>
  </conditionalFormatting>
  <printOptions horizontalCentered="1"/>
  <pageMargins left="0.11799999999999999" right="0.11799999999999999" top="0.11799999999999999" bottom="0.11799999999999999" header="0.11799999999999999" footer="0.11799999999999999"/>
  <pageSetup scale="86" orientation="landscape" r:id="rId1"/>
  <headerFooter>
    <oddFooter>&amp;L&amp;"Open Sans,Bold"&amp;K002060Introduction to 3-Statement Modeling&amp;C&amp;"Open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Model</vt:lpstr>
      <vt:lpstr>Dashboard</vt:lpstr>
      <vt:lpstr>Cover!Print_Area</vt:lpstr>
      <vt:lpstr>Model!Print_Area</vt:lpstr>
      <vt:lpstr>'Model-R'!Print_Area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Abed Al Rahman</dc:creator>
  <cp:keywords/>
  <dc:description/>
  <cp:lastModifiedBy>ABDULMALIK AKRAM KAMAL SABRI</cp:lastModifiedBy>
  <cp:revision/>
  <cp:lastPrinted>1899-12-30T05:00:00Z</cp:lastPrinted>
  <dcterms:created xsi:type="dcterms:W3CDTF">1899-12-30T05:00:00Z</dcterms:created>
  <dcterms:modified xsi:type="dcterms:W3CDTF">2025-10-24T14:11:00Z</dcterms:modified>
  <cp:category/>
  <cp:contentStatus/>
  <dc:language/>
  <cp:version/>
</cp:coreProperties>
</file>