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FF5C057A-9D1B-46D3-99E1-CA47186724AA}" xr6:coauthVersionLast="41" xr6:coauthVersionMax="41" xr10:uidLastSave="{00000000-0000-0000-0000-000000000000}"/>
  <bookViews>
    <workbookView xWindow="-120" yWindow="-120" windowWidth="29040" windowHeight="15840" tabRatio="731" firstSheet="3" activeTab="6" xr2:uid="{00000000-000D-0000-FFFF-FFFF00000000}"/>
  </bookViews>
  <sheets>
    <sheet name="الصفحه الرئيسيه" sheetId="1" r:id="rId1"/>
    <sheet name="الموردين" sheetId="10" r:id="rId2"/>
    <sheet name="حسن الالفي" sheetId="6" r:id="rId3"/>
    <sheet name="النقديه" sheetId="23" r:id="rId4"/>
    <sheet name="عماد الخرادلي" sheetId="12" r:id="rId5"/>
    <sheet name="بيان الصادر" sheetId="3" r:id="rId6"/>
    <sheet name="بيان اللوط" sheetId="17" r:id="rId7"/>
    <sheet name="بيان فرز وتعبئه" sheetId="13" r:id="rId8"/>
    <sheet name="بيان رص" sheetId="15" r:id="rId9"/>
    <sheet name="بيان خياطه" sheetId="16" r:id="rId10"/>
    <sheet name="بيان مصاريف الجان" sheetId="8" r:id="rId11"/>
    <sheet name="قاعدة بيانات" sheetId="14" r:id="rId12"/>
    <sheet name="العملاء" sheetId="5" r:id="rId13"/>
    <sheet name="بيان الشكاير" sheetId="18" r:id="rId14"/>
    <sheet name="بيان الباليتات" sheetId="20" r:id="rId15"/>
    <sheet name="بيان الشريط" sheetId="21" r:id="rId16"/>
  </sheets>
  <definedNames>
    <definedName name="loat_number">الصادر[رقم اللوط]</definedName>
    <definedName name="pag">Table22[وزن الشكاره]</definedName>
    <definedName name="pallet_type">#REF!</definedName>
    <definedName name="permisions">Table8[الاذونات]</definedName>
    <definedName name="supplier_name">Table41[اسم المورد]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7" l="1"/>
  <c r="E15" i="6" l="1"/>
  <c r="F15" i="6" s="1"/>
  <c r="H15" i="6" s="1"/>
  <c r="J15" i="6" s="1"/>
  <c r="E14" i="6"/>
  <c r="F14" i="6" s="1"/>
  <c r="A17" i="6"/>
  <c r="H3" i="10"/>
  <c r="A3" i="21"/>
  <c r="F2" i="21"/>
  <c r="F3" i="21" s="1"/>
  <c r="E2" i="21"/>
  <c r="A3" i="20"/>
  <c r="F2" i="20"/>
  <c r="F3" i="20" s="1"/>
  <c r="E2" i="20"/>
  <c r="F2" i="18"/>
  <c r="F3" i="18" s="1"/>
  <c r="E2" i="18"/>
  <c r="A3" i="18"/>
  <c r="C2" i="15"/>
  <c r="N2" i="3"/>
  <c r="N3" i="3"/>
  <c r="N4" i="3"/>
  <c r="N5" i="3"/>
  <c r="N6" i="3"/>
  <c r="N7" i="3"/>
  <c r="N8" i="3"/>
  <c r="O2" i="3"/>
  <c r="O3" i="3"/>
  <c r="O4" i="3"/>
  <c r="O5" i="3"/>
  <c r="O6" i="3"/>
  <c r="O7" i="3"/>
  <c r="O8" i="3"/>
  <c r="M2" i="3"/>
  <c r="M3" i="3"/>
  <c r="M4" i="3"/>
  <c r="M5" i="3"/>
  <c r="M6" i="3"/>
  <c r="M7" i="3"/>
  <c r="M8" i="3"/>
  <c r="O8" i="14"/>
  <c r="O7" i="14"/>
  <c r="O5" i="14"/>
  <c r="Q2" i="14"/>
  <c r="O2" i="14"/>
  <c r="O3" i="14"/>
  <c r="O4" i="14"/>
  <c r="O6" i="14"/>
  <c r="P2" i="14"/>
  <c r="P3" i="14" s="1"/>
  <c r="H14" i="6" l="1"/>
  <c r="J14" i="6" s="1"/>
  <c r="Q3" i="14"/>
  <c r="P4" i="14"/>
  <c r="P5" i="14" s="1"/>
  <c r="Q4" i="14" l="1"/>
  <c r="Q5" i="14" s="1"/>
  <c r="P6" i="14"/>
  <c r="P7" i="14" s="1"/>
  <c r="P8" i="14" s="1"/>
  <c r="Q6" i="14" l="1"/>
  <c r="Q7" i="14" s="1"/>
  <c r="Q8" i="14" s="1"/>
  <c r="C11" i="13" l="1"/>
  <c r="D11" i="13" s="1"/>
  <c r="M9" i="17" l="1"/>
  <c r="N9" i="17" s="1"/>
  <c r="M10" i="17"/>
  <c r="N10" i="17" s="1"/>
  <c r="M11" i="17"/>
  <c r="N11" i="17" s="1"/>
  <c r="M12" i="17"/>
  <c r="N12" i="17" s="1"/>
  <c r="F2" i="17"/>
  <c r="F3" i="17"/>
  <c r="M2" i="17" s="1"/>
  <c r="L2" i="3" s="1"/>
  <c r="F4" i="17"/>
  <c r="M3" i="17" s="1"/>
  <c r="N3" i="17" s="1"/>
  <c r="L3" i="3" s="1"/>
  <c r="F5" i="17"/>
  <c r="F6" i="17"/>
  <c r="F7" i="17"/>
  <c r="F8" i="17"/>
  <c r="F9" i="17"/>
  <c r="F10" i="17"/>
  <c r="F11" i="17"/>
  <c r="F12" i="17"/>
  <c r="F13" i="17"/>
  <c r="F14" i="17"/>
  <c r="F15" i="17"/>
  <c r="F16" i="17"/>
  <c r="L9" i="17"/>
  <c r="L10" i="17"/>
  <c r="L11" i="17"/>
  <c r="L12" i="17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8" i="3"/>
  <c r="P8" i="3" s="1"/>
  <c r="H8" i="3"/>
  <c r="I8" i="3"/>
  <c r="C8" i="15" s="1"/>
  <c r="D8" i="15" s="1"/>
  <c r="K8" i="17"/>
  <c r="K9" i="17"/>
  <c r="K10" i="17"/>
  <c r="K11" i="17"/>
  <c r="K12" i="17"/>
  <c r="K7" i="17"/>
  <c r="K6" i="17"/>
  <c r="K5" i="17"/>
  <c r="E9" i="10"/>
  <c r="E11" i="12"/>
  <c r="H11" i="12"/>
  <c r="J11" i="12"/>
  <c r="M9" i="12"/>
  <c r="H9" i="10" s="1"/>
  <c r="E13" i="6"/>
  <c r="E12" i="6"/>
  <c r="G7" i="3"/>
  <c r="P7" i="3" s="1"/>
  <c r="H7" i="3"/>
  <c r="I7" i="3"/>
  <c r="H2" i="3"/>
  <c r="K4" i="17"/>
  <c r="K3" i="17"/>
  <c r="M8" i="17" l="1"/>
  <c r="M6" i="17"/>
  <c r="N6" i="17" s="1"/>
  <c r="L6" i="3" s="1"/>
  <c r="M4" i="17"/>
  <c r="N4" i="17" s="1"/>
  <c r="L4" i="3" s="1"/>
  <c r="M5" i="17"/>
  <c r="N5" i="17" s="1"/>
  <c r="L5" i="3" s="1"/>
  <c r="L3" i="17"/>
  <c r="J3" i="3" s="1"/>
  <c r="F12" i="6"/>
  <c r="H12" i="6" s="1"/>
  <c r="J12" i="6" s="1"/>
  <c r="F13" i="6"/>
  <c r="H13" i="6" s="1"/>
  <c r="J13" i="6" s="1"/>
  <c r="M7" i="17"/>
  <c r="N7" i="17" s="1"/>
  <c r="L7" i="3" s="1"/>
  <c r="C9" i="13"/>
  <c r="D9" i="13" s="1"/>
  <c r="C7" i="16"/>
  <c r="D7" i="16" s="1"/>
  <c r="C10" i="13"/>
  <c r="D10" i="13" s="1"/>
  <c r="N8" i="17"/>
  <c r="L8" i="3" s="1"/>
  <c r="K8" i="3"/>
  <c r="L8" i="17"/>
  <c r="J8" i="3" s="1"/>
  <c r="K2" i="3"/>
  <c r="L4" i="17"/>
  <c r="J4" i="3" s="1"/>
  <c r="L6" i="17"/>
  <c r="J6" i="3" s="1"/>
  <c r="L7" i="17"/>
  <c r="J7" i="3" s="1"/>
  <c r="L5" i="17"/>
  <c r="J5" i="3" s="1"/>
  <c r="K6" i="3"/>
  <c r="L2" i="17"/>
  <c r="J2" i="3" s="1"/>
  <c r="C8" i="16"/>
  <c r="D8" i="16" s="1"/>
  <c r="C7" i="15"/>
  <c r="D7" i="15" s="1"/>
  <c r="M10" i="12"/>
  <c r="K9" i="10" s="1"/>
  <c r="K3" i="3"/>
  <c r="C3" i="18" s="1"/>
  <c r="E3" i="18" s="1"/>
  <c r="K4" i="3"/>
  <c r="K2" i="17"/>
  <c r="I2" i="3"/>
  <c r="I3" i="3"/>
  <c r="I4" i="3"/>
  <c r="C4" i="15" s="1"/>
  <c r="I5" i="3"/>
  <c r="I6" i="3"/>
  <c r="C6" i="21" l="1"/>
  <c r="C6" i="20"/>
  <c r="C6" i="18"/>
  <c r="C3" i="15"/>
  <c r="C3" i="21"/>
  <c r="E3" i="21" s="1"/>
  <c r="C3" i="20"/>
  <c r="E3" i="20" s="1"/>
  <c r="E4" i="18"/>
  <c r="E5" i="18" s="1"/>
  <c r="E6" i="18" s="1"/>
  <c r="E7" i="18" s="1"/>
  <c r="K7" i="3"/>
  <c r="K5" i="3"/>
  <c r="D2" i="15"/>
  <c r="Q7" i="3"/>
  <c r="Q8" i="3"/>
  <c r="C6" i="15"/>
  <c r="D6" i="15" s="1"/>
  <c r="C5" i="15"/>
  <c r="D5" i="15" s="1"/>
  <c r="G4" i="16"/>
  <c r="G4" i="15"/>
  <c r="G7" i="13"/>
  <c r="G6" i="3"/>
  <c r="H6" i="3"/>
  <c r="G5" i="3"/>
  <c r="H5" i="3"/>
  <c r="E4" i="20" l="1"/>
  <c r="E5" i="20" s="1"/>
  <c r="E6" i="20" s="1"/>
  <c r="F4" i="20"/>
  <c r="E4" i="21"/>
  <c r="E5" i="21" s="1"/>
  <c r="E6" i="21" s="1"/>
  <c r="F4" i="21"/>
  <c r="F5" i="21" s="1"/>
  <c r="F6" i="21" s="1"/>
  <c r="F4" i="18"/>
  <c r="F5" i="18" s="1"/>
  <c r="F6" i="18" s="1"/>
  <c r="F7" i="18" s="1"/>
  <c r="C8" i="13"/>
  <c r="D8" i="13" s="1"/>
  <c r="P6" i="3"/>
  <c r="C6" i="16"/>
  <c r="D6" i="16" s="1"/>
  <c r="C7" i="13"/>
  <c r="D7" i="13" s="1"/>
  <c r="C5" i="16"/>
  <c r="D5" i="16" s="1"/>
  <c r="P5" i="3"/>
  <c r="E11" i="6"/>
  <c r="E10" i="6"/>
  <c r="D3" i="15"/>
  <c r="D4" i="15"/>
  <c r="H3" i="3"/>
  <c r="H4" i="3"/>
  <c r="G4" i="3"/>
  <c r="G3" i="3"/>
  <c r="G2" i="3"/>
  <c r="E9" i="6"/>
  <c r="E8" i="6"/>
  <c r="E7" i="6"/>
  <c r="E6" i="6"/>
  <c r="F5" i="20" l="1"/>
  <c r="F6" i="20" s="1"/>
  <c r="G17" i="6"/>
  <c r="Q5" i="3"/>
  <c r="F6" i="6"/>
  <c r="H6" i="6" s="1"/>
  <c r="F11" i="6"/>
  <c r="H11" i="6" s="1"/>
  <c r="J11" i="6" s="1"/>
  <c r="F9" i="6"/>
  <c r="H9" i="6" s="1"/>
  <c r="J9" i="6" s="1"/>
  <c r="F10" i="6"/>
  <c r="H10" i="6" s="1"/>
  <c r="J10" i="6" s="1"/>
  <c r="F7" i="6"/>
  <c r="H7" i="6" s="1"/>
  <c r="F8" i="6"/>
  <c r="H8" i="6" s="1"/>
  <c r="J8" i="6" s="1"/>
  <c r="P3" i="3"/>
  <c r="C5" i="13"/>
  <c r="D5" i="13" s="1"/>
  <c r="C3" i="16"/>
  <c r="D3" i="16" s="1"/>
  <c r="C4" i="16"/>
  <c r="D4" i="16" s="1"/>
  <c r="P4" i="3"/>
  <c r="C6" i="13"/>
  <c r="D6" i="13" s="1"/>
  <c r="C4" i="13"/>
  <c r="D4" i="13" s="1"/>
  <c r="P2" i="3"/>
  <c r="C2" i="16"/>
  <c r="D2" i="16" s="1"/>
  <c r="Q6" i="3"/>
  <c r="D9" i="15"/>
  <c r="G5" i="15" s="1"/>
  <c r="I17" i="6" l="1"/>
  <c r="J6" i="6"/>
  <c r="C17" i="6" s="1"/>
  <c r="Q3" i="3"/>
  <c r="Q4" i="3"/>
  <c r="J7" i="6"/>
  <c r="Q2" i="3"/>
  <c r="D9" i="16"/>
  <c r="G5" i="16" s="1"/>
  <c r="E17" i="6" l="1"/>
  <c r="K3" i="10"/>
  <c r="E3" i="10" l="1"/>
  <c r="D12" i="13"/>
  <c r="G8" i="13" s="1"/>
</calcChain>
</file>

<file path=xl/sharedStrings.xml><?xml version="1.0" encoding="utf-8"?>
<sst xmlns="http://schemas.openxmlformats.org/spreadsheetml/2006/main" count="282" uniqueCount="102">
  <si>
    <t>الموردين</t>
  </si>
  <si>
    <t>المستوردين</t>
  </si>
  <si>
    <t>التاريخ</t>
  </si>
  <si>
    <t>سبونتا سمرا</t>
  </si>
  <si>
    <t>سبونتا صحراوي</t>
  </si>
  <si>
    <t>الوزن القائم</t>
  </si>
  <si>
    <t>الوزن الفارغ</t>
  </si>
  <si>
    <t>خصم اضافي</t>
  </si>
  <si>
    <t>الوزن قائم</t>
  </si>
  <si>
    <t>الوزن فارغ</t>
  </si>
  <si>
    <t>السعر</t>
  </si>
  <si>
    <t>الوزن الصافي</t>
  </si>
  <si>
    <t>العميل</t>
  </si>
  <si>
    <t>الاجمالي</t>
  </si>
  <si>
    <t>اسم العميل</t>
  </si>
  <si>
    <t>حسن الالفي</t>
  </si>
  <si>
    <t>عماد الخرادلي</t>
  </si>
  <si>
    <t>الصنف</t>
  </si>
  <si>
    <t>وزن الخام</t>
  </si>
  <si>
    <t>خصم 0.025</t>
  </si>
  <si>
    <t>الصافي</t>
  </si>
  <si>
    <t>المبلغ</t>
  </si>
  <si>
    <t>رقم اللوط</t>
  </si>
  <si>
    <t>19/5/2023</t>
  </si>
  <si>
    <t>رقم البراد</t>
  </si>
  <si>
    <t>1236/4569</t>
  </si>
  <si>
    <t>20/5/2023</t>
  </si>
  <si>
    <t>1254/2563</t>
  </si>
  <si>
    <t>عدد الباليتات</t>
  </si>
  <si>
    <t>عدد الشكاير</t>
  </si>
  <si>
    <t>النوع</t>
  </si>
  <si>
    <t>اسم البلد</t>
  </si>
  <si>
    <t>ثمار الخليج</t>
  </si>
  <si>
    <t>ثمار طيبه</t>
  </si>
  <si>
    <t>البحرين</t>
  </si>
  <si>
    <t>اللوط</t>
  </si>
  <si>
    <t>الاسم</t>
  </si>
  <si>
    <t>لجنة حجر زراعي</t>
  </si>
  <si>
    <t>لجنة سلامة الغذاء</t>
  </si>
  <si>
    <t>21/5/2023</t>
  </si>
  <si>
    <t>7854/8956</t>
  </si>
  <si>
    <t>وزن الشكاره</t>
  </si>
  <si>
    <t>محمد اشرف</t>
  </si>
  <si>
    <t>عربية سلامة الغذاء</t>
  </si>
  <si>
    <t>18/5/2023</t>
  </si>
  <si>
    <t>الوزن</t>
  </si>
  <si>
    <t>الرصيد</t>
  </si>
  <si>
    <t>21/9/2023</t>
  </si>
  <si>
    <t>فرز وتعبئه</t>
  </si>
  <si>
    <t>22/9/2023</t>
  </si>
  <si>
    <t>صرف نقديه</t>
  </si>
  <si>
    <t>23/9/2023</t>
  </si>
  <si>
    <t>24/9/2023</t>
  </si>
  <si>
    <t>25/9/2023</t>
  </si>
  <si>
    <t>الاذونات</t>
  </si>
  <si>
    <t>مشتريات بضاعه</t>
  </si>
  <si>
    <t>1452/3652</t>
  </si>
  <si>
    <t>1254/8965</t>
  </si>
  <si>
    <t xml:space="preserve">رقم اللوط </t>
  </si>
  <si>
    <t>تكاليف الفرز والتعبئه</t>
  </si>
  <si>
    <t>تكايف الرص</t>
  </si>
  <si>
    <t>تاكليف الخياطه</t>
  </si>
  <si>
    <t>نوع الباليته</t>
  </si>
  <si>
    <t>خشب</t>
  </si>
  <si>
    <t>اجمالي باليتات</t>
  </si>
  <si>
    <t>اجمالي شكاير</t>
  </si>
  <si>
    <t>بلاستيك</t>
  </si>
  <si>
    <t>1254/895</t>
  </si>
  <si>
    <t>29/9/2023</t>
  </si>
  <si>
    <t>الرئيسيه</t>
  </si>
  <si>
    <t>قائمة الموردين</t>
  </si>
  <si>
    <t>دائن</t>
  </si>
  <si>
    <t>20/9/2023</t>
  </si>
  <si>
    <t>سبونتا  سمرا</t>
  </si>
  <si>
    <t>مدين</t>
  </si>
  <si>
    <t>وارد خام</t>
  </si>
  <si>
    <t>الحساب</t>
  </si>
  <si>
    <t>26/9/2023</t>
  </si>
  <si>
    <t>27/9/2023</t>
  </si>
  <si>
    <t>مصاريف اللجان</t>
  </si>
  <si>
    <t>اجمالي التكاليف</t>
  </si>
  <si>
    <t>ارضية المحطه</t>
  </si>
  <si>
    <t>الصفوه</t>
  </si>
  <si>
    <t>7854/96321</t>
  </si>
  <si>
    <t>27/92023</t>
  </si>
  <si>
    <t>28/9/2023</t>
  </si>
  <si>
    <t>25/9/203</t>
  </si>
  <si>
    <t>تكلفة باليتات</t>
  </si>
  <si>
    <t>اجمالي الشكاير</t>
  </si>
  <si>
    <t>تكلفة شكاير</t>
  </si>
  <si>
    <t>23/8/2023</t>
  </si>
  <si>
    <t>المورد</t>
  </si>
  <si>
    <t>الكميه</t>
  </si>
  <si>
    <t>22/5/2023</t>
  </si>
  <si>
    <t>23/5/2023</t>
  </si>
  <si>
    <t>متوسط السعر</t>
  </si>
  <si>
    <t>25/5/2023</t>
  </si>
  <si>
    <t>رقم الهاتف</t>
  </si>
  <si>
    <t>اسم المورد</t>
  </si>
  <si>
    <t>النقديه</t>
  </si>
  <si>
    <t>الخام بعد الخصم</t>
  </si>
  <si>
    <t>وارد خام حسن الالفي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</si>
</sst>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;@"/>
    <numFmt numFmtId="165" formatCode="#,##0.00\ [$ج.م.‏-C01]"/>
    <numFmt numFmtId="166" formatCode="#,##0.00\ [$ج.م.‏-C01];\-#,##0.00\ [$ج.م.‏-C01]"/>
    <numFmt numFmtId="167" formatCode="#,##0\ [$ج.م.‏-C01]"/>
    <numFmt numFmtId="168" formatCode="[$-2010000]d/mm/yyyy;@"/>
  </numFmts>
  <fonts count="11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u/>
      <sz val="24"/>
      <color theme="10"/>
      <name val="Arial"/>
      <family val="2"/>
      <scheme val="minor"/>
    </font>
    <font>
      <sz val="22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22"/>
      <color theme="10"/>
      <name val="Arial"/>
      <family val="2"/>
      <scheme val="minor"/>
    </font>
    <font>
      <sz val="14"/>
      <color theme="1"/>
      <name val="Arial"/>
      <family val="2"/>
      <scheme val="minor"/>
    </font>
    <font>
      <sz val="48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28"/>
      <color rgb="FF0061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55">
    <xf numFmtId="0" fontId="0" fillId="0" borderId="0" xfId="0"/>
    <xf numFmtId="0" fontId="3" fillId="0" borderId="0" xfId="0" applyFont="1"/>
    <xf numFmtId="0" fontId="0" fillId="0" borderId="0" xfId="0" applyNumberFormat="1"/>
    <xf numFmtId="14" fontId="0" fillId="3" borderId="1" xfId="0" applyNumberFormat="1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14" fontId="0" fillId="0" borderId="1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2" xfId="0" applyNumberFormat="1" applyFont="1" applyBorder="1"/>
    <xf numFmtId="164" fontId="5" fillId="0" borderId="4" xfId="0" applyNumberFormat="1" applyFont="1" applyBorder="1"/>
    <xf numFmtId="0" fontId="5" fillId="0" borderId="5" xfId="0" applyFont="1" applyBorder="1"/>
    <xf numFmtId="0" fontId="5" fillId="0" borderId="5" xfId="0" applyNumberFormat="1" applyFont="1" applyBorder="1"/>
    <xf numFmtId="0" fontId="5" fillId="0" borderId="6" xfId="0" applyFont="1" applyBorder="1"/>
    <xf numFmtId="0" fontId="0" fillId="0" borderId="0" xfId="0" applyAlignment="1">
      <alignment horizontal="center"/>
    </xf>
    <xf numFmtId="0" fontId="4" fillId="2" borderId="7" xfId="0" applyFont="1" applyFill="1" applyBorder="1"/>
    <xf numFmtId="165" fontId="0" fillId="0" borderId="0" xfId="0" applyNumberFormat="1"/>
    <xf numFmtId="166" fontId="0" fillId="0" borderId="0" xfId="0" applyNumberFormat="1"/>
    <xf numFmtId="166" fontId="1" fillId="0" borderId="0" xfId="1" applyNumberFormat="1" applyAlignment="1">
      <alignment horizontal="center" vertical="center"/>
    </xf>
    <xf numFmtId="0" fontId="5" fillId="0" borderId="0" xfId="0" applyFont="1"/>
    <xf numFmtId="0" fontId="4" fillId="2" borderId="11" xfId="0" applyFont="1" applyFill="1" applyBorder="1"/>
    <xf numFmtId="0" fontId="4" fillId="2" borderId="10" xfId="0" applyFont="1" applyFill="1" applyBorder="1"/>
    <xf numFmtId="14" fontId="0" fillId="3" borderId="12" xfId="0" applyNumberFormat="1" applyFont="1" applyFill="1" applyBorder="1"/>
    <xf numFmtId="0" fontId="0" fillId="3" borderId="8" xfId="0" applyFont="1" applyFill="1" applyBorder="1"/>
    <xf numFmtId="0" fontId="0" fillId="3" borderId="8" xfId="0" applyNumberFormat="1" applyFont="1" applyFill="1" applyBorder="1"/>
    <xf numFmtId="0" fontId="0" fillId="3" borderId="9" xfId="0" applyFont="1" applyFill="1" applyBorder="1"/>
    <xf numFmtId="14" fontId="0" fillId="0" borderId="0" xfId="0" applyNumberFormat="1"/>
    <xf numFmtId="167" fontId="0" fillId="0" borderId="0" xfId="0" applyNumberFormat="1"/>
    <xf numFmtId="168" fontId="0" fillId="0" borderId="0" xfId="0" applyNumberFormat="1"/>
    <xf numFmtId="166" fontId="0" fillId="0" borderId="0" xfId="0" applyNumberFormat="1" applyBorder="1"/>
    <xf numFmtId="0" fontId="8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4" borderId="17" xfId="2" applyBorder="1" applyAlignment="1">
      <alignment horizontal="center" vertical="center"/>
    </xf>
    <xf numFmtId="0" fontId="9" fillId="4" borderId="14" xfId="2" applyBorder="1" applyAlignment="1">
      <alignment horizontal="center" vertical="center"/>
    </xf>
    <xf numFmtId="0" fontId="9" fillId="4" borderId="15" xfId="2" applyBorder="1" applyAlignment="1">
      <alignment horizontal="center"/>
    </xf>
    <xf numFmtId="0" fontId="9" fillId="4" borderId="16" xfId="2" applyBorder="1" applyAlignment="1">
      <alignment horizontal="center"/>
    </xf>
    <xf numFmtId="0" fontId="9" fillId="4" borderId="17" xfId="2" applyBorder="1" applyAlignment="1">
      <alignment horizontal="center"/>
    </xf>
    <xf numFmtId="0" fontId="9" fillId="4" borderId="14" xfId="2" applyBorder="1" applyAlignment="1">
      <alignment horizontal="center"/>
    </xf>
    <xf numFmtId="166" fontId="9" fillId="4" borderId="15" xfId="2" applyNumberFormat="1" applyBorder="1" applyAlignment="1">
      <alignment horizontal="center" vertical="center"/>
    </xf>
    <xf numFmtId="166" fontId="9" fillId="4" borderId="18" xfId="2" applyNumberFormat="1" applyBorder="1" applyAlignment="1">
      <alignment horizontal="center" vertical="center"/>
    </xf>
    <xf numFmtId="166" fontId="9" fillId="4" borderId="16" xfId="2" applyNumberFormat="1" applyBorder="1" applyAlignment="1">
      <alignment horizontal="center" vertical="center"/>
    </xf>
    <xf numFmtId="166" fontId="9" fillId="4" borderId="17" xfId="2" applyNumberFormat="1" applyBorder="1" applyAlignment="1">
      <alignment horizontal="center" vertical="center"/>
    </xf>
    <xf numFmtId="166" fontId="9" fillId="4" borderId="13" xfId="2" applyNumberFormat="1" applyBorder="1" applyAlignment="1">
      <alignment horizontal="center" vertical="center"/>
    </xf>
    <xf numFmtId="166" fontId="9" fillId="4" borderId="14" xfId="2" applyNumberFormat="1" applyBorder="1" applyAlignment="1">
      <alignment horizontal="center" vertical="center"/>
    </xf>
    <xf numFmtId="0" fontId="9" fillId="4" borderId="15" xfId="2" applyBorder="1" applyAlignment="1">
      <alignment horizontal="center" vertical="center"/>
    </xf>
    <xf numFmtId="0" fontId="9" fillId="4" borderId="16" xfId="2" applyBorder="1" applyAlignment="1">
      <alignment horizontal="center" vertical="center"/>
    </xf>
    <xf numFmtId="166" fontId="10" fillId="4" borderId="0" xfId="2" applyNumberFormat="1" applyFont="1" applyAlignment="1">
      <alignment horizontal="center"/>
    </xf>
    <xf numFmtId="0" fontId="1" fillId="0" borderId="0" xfId="1" applyAlignment="1">
      <alignment horizontal="center" vertic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 vertical="center"/>
    </xf>
    <xf numFmtId="1" fontId="0" fillId="0" borderId="0" xfId="0" applyNumberFormat="1"/>
  </cellXfs>
  <cellStyles count="3">
    <cellStyle name="Good" xfId="2" builtinId="26"/>
    <cellStyle name="Hyperlink" xfId="1" builtinId="8"/>
    <cellStyle name="Normal" xfId="0" builtinId="0"/>
  </cellStyles>
  <dxfs count="61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#,##0.00\ [$ج.م.‏-C01]"/>
    </dxf>
    <dxf>
      <numFmt numFmtId="0" formatCode="General"/>
    </dxf>
    <dxf>
      <numFmt numFmtId="167" formatCode="#,##0\ [$ج.م.‏-C01]"/>
    </dxf>
    <dxf>
      <numFmt numFmtId="165" formatCode="#,##0.00\ [$ج.م.‏-C01]"/>
    </dxf>
    <dxf>
      <numFmt numFmtId="168" formatCode="[$-2010000]d/mm/yyyy;@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#,##0.00\ [$ج.م.‏-C01]"/>
    </dxf>
    <dxf>
      <numFmt numFmtId="165" formatCode="#,##0.00\ [$ج.م.‏-C01]"/>
    </dxf>
    <dxf>
      <numFmt numFmtId="165" formatCode="#,##0.00\ [$ج.م.‏-C01]"/>
    </dxf>
    <dxf>
      <numFmt numFmtId="165" formatCode="#,##0.00\ [$ج.م.‏-C01]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#,##0.00\ [$ج.م.‏-C01];\-#,##0.00\ [$ج.م.‏-C01]"/>
    </dxf>
    <dxf>
      <numFmt numFmtId="166" formatCode="#,##0.00\ [$ج.م.‏-C01];\-#,##0.00\ [$ج.م.‏-C01]"/>
    </dxf>
    <dxf>
      <numFmt numFmtId="166" formatCode="#,##0.00\ [$ج.م.‏-C01];\-#,##0.00\ [$ج.م.‏-C01]"/>
    </dxf>
    <dxf>
      <numFmt numFmtId="166" formatCode="#,##0.00\ [$ج.م.‏-C01];\-#,##0.00\ [$ج.م.‏-C01]"/>
    </dxf>
    <dxf>
      <numFmt numFmtId="166" formatCode="#,##0.00\ [$ج.م.‏-C01];\-#,##0.00\ [$ج.م.‏-C01]"/>
    </dxf>
    <dxf>
      <numFmt numFmtId="166" formatCode="#,##0.00\ [$ج.م.‏-C01];\-#,##0.00\ [$ج.م.‏-C01]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7" formatCode="#,##0.00_);\(#,##0.00\)"/>
    </dxf>
    <dxf>
      <numFmt numFmtId="166" formatCode="#,##0.00\ [$ج.م.‏-C01];\-#,##0.00\ [$ج.م.‏-C01]"/>
    </dxf>
    <dxf>
      <numFmt numFmtId="166" formatCode="#,##0.00\ [$ج.م.‏-C01];\-#,##0.00\ [$ج.م.‏-C01]"/>
    </dxf>
    <dxf>
      <numFmt numFmtId="166" formatCode="#,##0.00\ [$ج.م.‏-C01];\-#,##0.00\ [$ج.م.‏-C01]"/>
    </dxf>
    <dxf>
      <numFmt numFmtId="166" formatCode="#,##0.00\ [$ج.م.‏-C01];\-#,##0.00\ [$ج.م.‏-C01]"/>
    </dxf>
    <dxf>
      <numFmt numFmtId="166" formatCode="#,##0.00\ [$ج.م.‏-C01];\-#,##0.00\ [$ج.م.‏-C01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98509A45-EA35-4F53-A5C7-4832D8A7C5E8}" name="Table41" displayName="Table41" ref="O1:P3" totalsRowShown="0">
  <autoFilter ref="O1:P3" xr:uid="{4A50E215-5CFD-43A9-820F-CB53BDA1EEB1}"/>
  <tableColumns count="2">
    <tableColumn id="1" xr3:uid="{DDE3108B-79AA-4859-B491-013A2836653D}" name="اسم المورد"/>
    <tableColumn id="2" xr3:uid="{A95F8BB2-3ADC-4B6B-8288-E9FF92E34A30}" name="رقم الهاتف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3634D53-A529-4227-A9F2-E0A3DE6CAB60}" name="Table11" displayName="Table11" ref="F3:G7" totalsRowCount="1">
  <autoFilter ref="F3:G6" xr:uid="{2E953F25-D27A-450C-9436-47F13DDE4B8D}"/>
  <tableColumns count="2">
    <tableColumn id="1" xr3:uid="{1C41B896-E525-4511-B15C-49D082F681B5}" name="التاريخ" totalsRowLabel="الاجمالي"/>
    <tableColumn id="2" xr3:uid="{60AB681B-20F7-4AAF-AAC1-3CB0EFAF9313}" name="المبلغ" totalsRowFunction="custom">
      <totalsRowFormula>SUM(Table11[المبلغ])</totalsRow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30C354-DB48-4E48-B9FD-2420E3E798BE}" name="بيان_الرص" displayName="بيان_الرص" ref="A1:D9" totalsRowCount="1">
  <autoFilter ref="A1:D8" xr:uid="{D91D23B2-5CCC-4341-BC73-10CFB9B8AE8F}"/>
  <tableColumns count="4">
    <tableColumn id="1" xr3:uid="{3E3465F3-830C-4A87-AF2D-6E06EFE37B7C}" name="التاريخ"/>
    <tableColumn id="2" xr3:uid="{51FC7811-95FB-4D74-B572-31B5CD423E4A}" name="رقم اللوط"/>
    <tableColumn id="3" xr3:uid="{D9CD195C-1E2A-462A-B5C4-94C26CC890F7}" name="عدد الباليتات" dataDxfId="14">
      <calculatedColumnFormula>VLOOKUP(بيان_الرص[رقم اللوط],'بيان الصادر'!A1:I8,6,FALSE)</calculatedColumnFormula>
    </tableColumn>
    <tableColumn id="4" xr3:uid="{C4E15033-EDCD-4563-906F-2666FB1DE53B}" name="الاجمالي" totalsRowFunction="custom">
      <calculatedColumnFormula>بيان_الرص[[#This Row],[عدد الباليتات]]*25</calculatedColumnFormula>
      <totalsRowFormula>SUM(بيان_الرص[الاجمالي])</totalsRow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EAB5684-AA2B-4582-8F43-859E1C75AB30}" name="Table13" displayName="Table13" ref="F1:G4" totalsRowCount="1">
  <autoFilter ref="F1:G3" xr:uid="{026521A5-E08F-43AF-AD0A-A02FC305B3C0}"/>
  <tableColumns count="2">
    <tableColumn id="1" xr3:uid="{A6C9F0DB-D34B-4DBE-94FB-A298F53B289F}" name="التاريخ" totalsRowLabel="الاجمالي"/>
    <tableColumn id="2" xr3:uid="{BF276726-656D-45CF-B9AB-E23B9C22A3B6}" name="المبلغ" totalsRowFunction="custom">
      <totalsRowFormula>SUM(Table13[المبلغ])</totalsRow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C1A2946-057E-4F9E-9DF5-312D23184D7D}" name="Table14" displayName="Table14" ref="A1:D9" totalsRowCount="1">
  <autoFilter ref="A1:D8" xr:uid="{26DCB308-AB5B-4D1D-891D-047661B2FDF0}"/>
  <tableColumns count="4">
    <tableColumn id="1" xr3:uid="{A1CFA55D-0403-4255-9833-AD70643F9511}" name="التاريخ"/>
    <tableColumn id="2" xr3:uid="{A92A14C1-E69C-445F-8B4A-382BBEDE1BE1}" name="رقم اللوط"/>
    <tableColumn id="3" xr3:uid="{EF18C3F3-9428-43CF-AEDF-6901F2086644}" name="الوزن" dataDxfId="13">
      <calculatedColumnFormula>VLOOKUP(Table14[رقم اللوط],الصادر[[#All],[رقم اللوط]:[الوزن الصافي]],4,FALSE)</calculatedColumnFormula>
    </tableColumn>
    <tableColumn id="4" xr3:uid="{4DF21E82-5A90-4EFB-B7F9-AC77B1FC2B02}" name="الاجمالي" totalsRowFunction="custom">
      <calculatedColumnFormula>(Table14[[#This Row],[الوزن]] -1) *6</calculatedColumnFormula>
      <totalsRowFormula>SUM(Table14[الاجمالي])</totalsRow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47B1D48-C484-4DEE-98DF-2CFE0E8B3F6C}" name="Table15" displayName="Table15" ref="F1:G4" totalsRowCount="1">
  <autoFilter ref="F1:G3" xr:uid="{6AE00B49-96A7-474A-A2ED-A0A7FCD9A968}"/>
  <tableColumns count="2">
    <tableColumn id="1" xr3:uid="{FE34F07B-B28C-4495-A26E-6ED0745096A4}" name="التاريخ" totalsRowLabel="الاجمالي"/>
    <tableColumn id="2" xr3:uid="{4A9FEFEA-5718-4A74-8B52-3D6EAF2C6C1B}" name="المبلغ" totalsRowFunction="custom">
      <totalsRowFormula>SUM(Table15[المبلغ])</totalsRow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53D345-1039-478F-B0B1-35F3EBEFC4E0}" name="مصاريف_اللوط" displayName="مصاريف_اللوط" ref="A1:C10" totalsRowShown="0">
  <autoFilter ref="A1:C10" xr:uid="{ECDE505E-B89E-4E72-B704-824D79BA901E}"/>
  <tableColumns count="3">
    <tableColumn id="1" xr3:uid="{C08FC894-7AC2-4E33-A64A-ABC4133EB8BF}" name="اللوط"/>
    <tableColumn id="2" xr3:uid="{499FFABF-6157-4E40-97F4-76EEFFC46D75}" name="النوع"/>
    <tableColumn id="3" xr3:uid="{DA79CC0D-5AA5-4773-94D2-3B929F9DC032}" name="المبلغ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B87333-5CF1-4996-993B-62C870D596EC}" name="Table8" displayName="Table8" ref="A1:A4" totalsRowShown="0">
  <autoFilter ref="A1:A4" xr:uid="{C2CB335A-6010-4448-A095-5B3D4589B7CA}"/>
  <tableColumns count="1">
    <tableColumn id="1" xr3:uid="{E944B622-B97A-4517-8523-1D4414B8CF4D}" name="الاذونات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FEF70CB-B327-4628-9A2A-D474DF2EC60B}" name="Table21" displayName="Table21" ref="C1:D3" totalsRowShown="0">
  <autoFilter ref="C1:D3" xr:uid="{6B67329A-7D09-4D20-AC8E-BE7AAC4C70D3}"/>
  <tableColumns count="2">
    <tableColumn id="1" xr3:uid="{95BFD6D3-AFF0-4F2A-B2A2-ACA6B0C47DC2}" name="نوع الباليته"/>
    <tableColumn id="2" xr3:uid="{EE28DFA6-0A2A-4D39-9AD9-676D6685E9B8}" name="السعر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9D893F2-4C31-49EE-9BC1-A78A5A167DDA}" name="المصاريف" displayName="المصاريف" ref="F1:F5" totalsRowShown="0">
  <autoFilter ref="F1:F5" xr:uid="{F6A53EF0-C00E-4904-A84F-BFBD7CA3A2F2}"/>
  <tableColumns count="1">
    <tableColumn id="1" xr3:uid="{020329A7-94C8-4D57-BC3B-8F54D843A8BA}" name="الاسم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3CBCA1C-4999-4882-9119-0F8147D926FA}" name="Table22" displayName="Table22" ref="H1:I3" totalsRowShown="0">
  <autoFilter ref="H1:I3" xr:uid="{00CEFDD0-EF38-4574-BF73-951A506CFE43}"/>
  <tableColumns count="2">
    <tableColumn id="1" xr3:uid="{4FAE6E4A-4038-438E-A988-2B236C68B3CE}" name="وزن الشكاره"/>
    <tableColumn id="2" xr3:uid="{E3FDE792-A39C-4A2B-98AF-B7A2614663B7}" name="السعر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327014-A899-4EF5-997A-807F06D4D5CB}" name="Table3" displayName="Table3" ref="A5:J15" totalsRowShown="0" totalsRowDxfId="60">
  <autoFilter ref="A5:J15" xr:uid="{417F7B7C-760F-4BC1-A618-A6284D2FFE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2" xr3:uid="{7CBC866D-A55D-419D-AD3F-8AE09E89793E}" name="التاريخ" totalsRowDxfId="59"/>
    <tableColumn id="3" xr3:uid="{1E463B2E-3DD6-4856-8DBC-9ACD02C673F5}" name="الصنف" totalsRowDxfId="58"/>
    <tableColumn id="4" xr3:uid="{4E247896-0FAA-48E7-B618-65478A45016F}" name="الوزن قائم" totalsRowDxfId="57"/>
    <tableColumn id="5" xr3:uid="{60F54BB3-6FC1-42DB-8BBD-4171114C1D7E}" name="الوزن فارغ" totalsRowDxfId="56"/>
    <tableColumn id="6" xr3:uid="{D861D144-CF8B-4F72-B822-9D3177FA9E54}" name="وزن الخام" totalsRowDxfId="55">
      <calculatedColumnFormula>Table3[[#This Row],[الوزن قائم]]-Table3[[#This Row],[الوزن فارغ]]</calculatedColumnFormula>
    </tableColumn>
    <tableColumn id="7" xr3:uid="{C076F4D8-0E6F-442F-AC5B-57B87882EB31}" name="خصم 0.025" totalsRowDxfId="54">
      <calculatedColumnFormula>Table3[[#This Row],[وزن الخام]]*0.025</calculatedColumnFormula>
    </tableColumn>
    <tableColumn id="8" xr3:uid="{92FE08F3-87AB-4F6B-8BD6-94A4C54D0CE2}" name="خصم اضافي" totalsRowDxfId="53"/>
    <tableColumn id="9" xr3:uid="{4F158C82-7454-4D8A-B4AA-E804A1C12DB0}" name="الصافي" totalsRowDxfId="52">
      <calculatedColumnFormula>Table3[[#This Row],[وزن الخام]]- Table3[[#This Row],[خصم 0.025]] -Table3[[#This Row],[خصم اضافي]]</calculatedColumnFormula>
    </tableColumn>
    <tableColumn id="10" xr3:uid="{C2B41CBF-A619-4F74-937C-2F1E5D2EECD9}" name="السعر" totalsRowDxfId="51"/>
    <tableColumn id="11" xr3:uid="{36ECCBB4-6583-43B5-867E-5CF624916955}" name="الاجمالي" totalsRowDxfId="50">
      <calculatedColumnFormula>Table3[[#This Row],[الصافي]]*Table3[[#This Row],[السعر]]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503537D-03C9-497F-BF9A-567B0DDAF2E1}" name="Table28" displayName="Table28" ref="L1:Q8" totalsRowShown="0" headerRowDxfId="12">
  <autoFilter ref="L1:Q8" xr:uid="{9DE47995-5FDB-4EDD-B675-0ABFBF72D44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7B8F1C7-5220-4B49-8080-67ED6051A65B}" name="التاريخ" dataDxfId="11"/>
    <tableColumn id="2" xr3:uid="{15571AF4-B288-468F-808D-0EA4E8C016A7}" name="الكميه"/>
    <tableColumn id="4" xr3:uid="{F3AF89E8-049B-4E9E-9CB3-8178ED0312AA}" name="السعر" dataDxfId="10"/>
    <tableColumn id="5" xr3:uid="{8D47135A-191B-4342-9DA9-A60060740FF6}" name="الاجمالي" dataDxfId="9">
      <calculatedColumnFormula>Table28[[#This Row],[السعر]]*Table28[[#This Row],[الكميه]]</calculatedColumnFormula>
    </tableColumn>
    <tableColumn id="3" xr3:uid="{9A9B2ABD-860B-42E9-8D88-151F5C6759D3}" name="الرصيد" dataDxfId="8">
      <calculatedColumnFormula>IF(ISNUMBER(OFFSET(Table28[[#This Row],[الرصيد]],-1,0)),Table28[الكميه]+OFFSET(Table28[[#This Row],[الرصيد]],-1,0),Table28[الكميه])</calculatedColumnFormula>
    </tableColumn>
    <tableColumn id="6" xr3:uid="{530DF5AC-C5BF-4BAC-B647-0628D7BCE42C}" name="متوسط السعر" dataDxfId="7">
      <calculatedColumnFormula xml:space="preserve">      IF(ISNUMBER( OFFSET(Table28[[#This Row],[متوسط السعر]],-1,0) ),   IF( Table28[[#This Row],[الكميه]]&gt;0,  (  (OFFSET(Table28[[#This Row],[الرصيد]],-1,0) * OFFSET(Table28[[#This Row],[متوسط السعر]],-1,0))    + Table28[[#This Row],[الاجمالي]] ) / Table28[[#This Row],[الرصيد]],   OFFSET(Table28[[#This Row],[متوسط السعر]],-1,0)  ),  Table28[[#This Row],[السعر]])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B4B546-DF5F-43C0-A4A6-387D27CF10A8}" name="Table2" displayName="Table2" ref="A1:B3" totalsRowShown="0">
  <autoFilter ref="A1:B3" xr:uid="{BF95F671-6CDB-4517-880F-6D0265F9BDF6}"/>
  <tableColumns count="2">
    <tableColumn id="1" xr3:uid="{81259DE5-FDEC-495B-A8BC-5B37EF6FC247}" name="اسم العميل"/>
    <tableColumn id="2" xr3:uid="{FAC6D84C-B992-4C9A-9AAC-B298BCE9CDF7}" name="اسم البلد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DEDBE894-DF49-4D7A-8FF2-485A0DC67790}" name="Table36" displayName="Table36" ref="A1:F7" totalsRowShown="0">
  <autoFilter ref="A1:F7" xr:uid="{657C51D3-9229-47FA-9FEE-7B29BA80B846}"/>
  <tableColumns count="6">
    <tableColumn id="1" xr3:uid="{6BB69B5B-758C-4236-8232-D7E679C36B91}" name="التاريخ"/>
    <tableColumn id="5" xr3:uid="{9838597C-8F45-46D9-BBB3-919708A2BC02}" name="اللوط"/>
    <tableColumn id="2" xr3:uid="{5E877EF3-4E2F-43D5-A9C7-8C2697573899}" name="الكميه">
      <calculatedColumnFormula>IF(Table36[[#This Row],[اللوط]],VLOOKUP(Table36[[#This Row],[اللوط]],الصادر[[رقم اللوط]:[عدد الشكاير]],11,FALSE),"")</calculatedColumnFormula>
    </tableColumn>
    <tableColumn id="3" xr3:uid="{BB0348C0-F108-4334-8E7F-01F879F7A506}" name="السعر"/>
    <tableColumn id="4" xr3:uid="{72BD389D-B557-40C1-AA19-39C70D6C1943}" name="الرصيد" dataDxfId="6">
      <calculatedColumnFormula>IF(ISNUMBER(OFFSET(Table36[[#This Row],[الرصيد]],-1,0)),  IF(Table36[[#This Row],[اللوط]],OFFSET(Table36[[#This Row],[الرصيد]],-1,0) - Table36[[#This Row],[الكميه]], OFFSET(Table36[[#This Row],[الرصيد]],-1,0)+Table36[[#This Row],[الكميه]]),Table36[[#This Row],[الكميه]])</calculatedColumnFormula>
    </tableColumn>
    <tableColumn id="6" xr3:uid="{0BAC89EA-E6C5-472F-8F88-217AFA53D6A5}" name="متوسط السعر" dataDxfId="5">
      <calculatedColumnFormula>IF( NOT( ISNUMBER(OFFSET(Table36[[#This Row],[متوسط السعر]],-1,0))),Table36[[#This Row],[السعر]],  IF(Table36[[#This Row],[اللوط]],OFFSET(Table36[[#This Row],[متوسط السعر]],-1,0),       (   (OFFSET(Table36[[#This Row],[متوسط السعر]],-1,0) * OFFSET(Table36[[#This Row],[الرصيد]],-1,0))  + (Table36[[#This Row],[الكميه]]*Table36[[#This Row],[السعر]])     )  /  Table36[[#This Row],[الرصيد]]   ) 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6CB88D3F-AC2D-4CD7-ABE6-7D53AD3014EA}" name="Table3639" displayName="Table3639" ref="A1:F6" totalsRowShown="0">
  <autoFilter ref="A1:F6" xr:uid="{25D32DE3-0D8E-4A7E-A16B-26A5BD4EFA66}"/>
  <tableColumns count="6">
    <tableColumn id="1" xr3:uid="{02E218F6-2557-4837-BBEA-A5112EED609C}" name="التاريخ"/>
    <tableColumn id="5" xr3:uid="{8E23AE95-CFA2-4EEA-A12D-C1EC3F953C2A}" name="اللوط"/>
    <tableColumn id="2" xr3:uid="{5EE0E319-4E85-4D39-968B-76C09DDB59EE}" name="الكميه">
      <calculatedColumnFormula>IF(Table3639[[#This Row],[اللوط]],VLOOKUP(Table3639[[#This Row],[اللوط]],الصادر[[رقم اللوط]:[عدد الشكاير]],11,FALSE),"")</calculatedColumnFormula>
    </tableColumn>
    <tableColumn id="3" xr3:uid="{66376075-3C00-4B85-8484-21AD4CB7BA09}" name="السعر"/>
    <tableColumn id="4" xr3:uid="{3366D613-F5F8-4B3B-9C49-1AB10FD430F0}" name="الرصيد" dataDxfId="4">
      <calculatedColumnFormula>IF(ISNUMBER(OFFSET(Table3639[[#This Row],[الرصيد]],-1,0)),  IF(Table3639[[#This Row],[اللوط]],OFFSET(Table3639[[#This Row],[الرصيد]],-1,0) - Table3639[[#This Row],[الكميه]], OFFSET(Table3639[[#This Row],[الرصيد]],-1,0)+Table3639[[#This Row],[الكميه]]),Table3639[[#This Row],[الكميه]])</calculatedColumnFormula>
    </tableColumn>
    <tableColumn id="6" xr3:uid="{46B2FF71-B9CD-41E3-A373-061C0FD4C5F4}" name="متوسط السعر" dataDxfId="3">
      <calculatedColumnFormula>IF( NOT( ISNUMBER(OFFSET(Table3639[[#This Row],[متوسط السعر]],-1,0))),Table3639[[#This Row],[السعر]],  IF(Table3639[[#This Row],[اللوط]],OFFSET(Table3639[[#This Row],[متوسط السعر]],-1,0),       (   (OFFSET(Table3639[[#This Row],[متوسط السعر]],-1,0) * OFFSET(Table3639[[#This Row],[الرصيد]],-1,0))  + (Table3639[[#This Row],[الكميه]]*Table3639[[#This Row],[السعر]])     )  /  Table3639[[#This Row],[الرصيد]]   ) 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B9C9D468-B2E2-4C43-815F-8BA2917F5BBA}" name="Table363940" displayName="Table363940" ref="A1:F6" totalsRowShown="0">
  <autoFilter ref="A1:F6" xr:uid="{A39CAC37-6024-493B-9675-A14D3DBFF160}"/>
  <tableColumns count="6">
    <tableColumn id="1" xr3:uid="{3D96CA55-A5A6-4C78-8082-DB46DBD12D5E}" name="التاريخ"/>
    <tableColumn id="5" xr3:uid="{6C3FF9A1-0044-4002-AC1A-D99171B796E7}" name="اللوط"/>
    <tableColumn id="2" xr3:uid="{95F26B65-74E5-4C05-BD0C-ABFAA46F298D}" name="الكميه">
      <calculatedColumnFormula>IF(Table363940[[#This Row],[اللوط]],VLOOKUP(Table363940[[#This Row],[اللوط]],الصادر[[رقم اللوط]:[عدد الشكاير]],11,FALSE),"")</calculatedColumnFormula>
    </tableColumn>
    <tableColumn id="3" xr3:uid="{022689CC-B50D-44F1-8ACF-E0415B45BCAF}" name="السعر"/>
    <tableColumn id="4" xr3:uid="{89F6F6AD-7332-45A1-9E8B-0150FC70C3C7}" name="الرصيد" dataDxfId="2">
      <calculatedColumnFormula>IF(ISNUMBER(OFFSET(Table363940[[#This Row],[الرصيد]],-1,0)),  IF(Table363940[[#This Row],[اللوط]],OFFSET(Table363940[[#This Row],[الرصيد]],-1,0) - Table363940[[#This Row],[الكميه]], OFFSET(Table363940[[#This Row],[الرصيد]],-1,0)+Table363940[[#This Row],[الكميه]]),Table363940[[#This Row],[الكميه]])</calculatedColumnFormula>
    </tableColumn>
    <tableColumn id="6" xr3:uid="{E930E529-825F-4B05-9EAC-AA6FAC07CCF6}" name="متوسط السعر" dataDxfId="1">
      <calculatedColumnFormula>IF( NOT( ISNUMBER(OFFSET(Table363940[[#This Row],[متوسط السعر]],-1,0))),Table363940[[#This Row],[السعر]],  IF(Table363940[[#This Row],[اللوط]],OFFSET(Table363940[[#This Row],[متوسط السعر]],-1,0),       (   (OFFSET(Table363940[[#This Row],[متوسط السعر]],-1,0) * OFFSET(Table363940[[#This Row],[الرصيد]],-1,0))  + (Table363940[[#This Row],[الكميه]]*Table363940[[#This Row],[السعر]])     )  /  Table363940[[#This Row],[الرصيد]]   ) 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12364D9-7E32-4ECA-BE72-98FA879E44FB}" name="Table40" displayName="Table40" ref="A1:C4" totalsRowShown="0">
  <autoFilter ref="A1:C4" xr:uid="{7D62CC58-3D7D-4C2C-86EB-0E4DCEC5960C}"/>
  <tableColumns count="3">
    <tableColumn id="1" xr3:uid="{8A7FA23E-033D-4EA0-885A-5EB0349870FB}" name="التاريخ"/>
    <tableColumn id="2" xr3:uid="{53BA5DF2-F9A1-4EAD-9163-1A764AA07EE5}" name="المورد"/>
    <tableColumn id="3" xr3:uid="{6A7BF075-46E8-4CFC-B128-4AE46FACC0AE}" name="المبلغ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B17A65C-C5EA-4E6C-BAF0-D6C90CFAA3B1}" name="Table1820" displayName="Table1820" ref="L5:M8" totalsRowShown="0" headerRowDxfId="49" dataDxfId="48">
  <autoFilter ref="L5:M8" xr:uid="{966BA5DF-D297-4EE9-963F-7E642B258D08}"/>
  <tableColumns count="2">
    <tableColumn id="1" xr3:uid="{A12BB55F-B661-41DC-96F1-0A4C2E2579B1}" name="التاريخ" dataDxfId="47"/>
    <tableColumn id="2" xr3:uid="{E5E7BF1A-8768-4AD8-B42F-96074B308AFA}" name="المبلغ" dataDxfId="4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8BC93BA-2E26-465E-A7A4-A72668BD08C7}" name="Table20" displayName="Table20" ref="A5:J10" totalsRowShown="0" headerRowDxfId="45" dataDxfId="43" headerRowBorderDxfId="44" tableBorderDxfId="42" totalsRowBorderDxfId="41">
  <autoFilter ref="A5:J10" xr:uid="{4645C6F3-6E99-4770-B456-CB7640EA9F8B}"/>
  <tableColumns count="10">
    <tableColumn id="1" xr3:uid="{BC706373-4E5F-41B9-A21D-209313E4484A}" name="التاريخ" dataDxfId="40"/>
    <tableColumn id="2" xr3:uid="{D14A9932-B1DC-4065-A56B-546273951D6C}" name="الصنف" dataDxfId="39"/>
    <tableColumn id="3" xr3:uid="{3C3C6505-AEC1-487B-AE88-6510A2DC5BF1}" name="الوزن قائم" dataDxfId="38"/>
    <tableColumn id="4" xr3:uid="{5017F6B9-6BCA-4558-A341-7AF052604E6B}" name="الوزن فارغ" dataDxfId="37"/>
    <tableColumn id="5" xr3:uid="{45F807FF-0A6C-47E8-985B-E19F88FB0D77}" name="وزن الخام" dataDxfId="36"/>
    <tableColumn id="6" xr3:uid="{70DEB5A3-A7F9-428F-8211-795699A30F53}" name="خصم 0.025" dataDxfId="35"/>
    <tableColumn id="7" xr3:uid="{DA2C6574-B8CF-440C-8F4A-A1376624A217}" name="خصم اضافي" dataDxfId="34"/>
    <tableColumn id="8" xr3:uid="{B11A61BB-874F-44CE-9ED9-F0712E8A52EE}" name="الصافي"/>
    <tableColumn id="9" xr3:uid="{1292F7E5-F402-450A-863C-F816F996B8C4}" name="السعر" dataDxfId="33"/>
    <tableColumn id="10" xr3:uid="{40ECB88A-2FC4-4F9E-92DA-15A181E73649}" name="الاجمالي" dataDxfId="3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A3CC60-3E14-4AE0-8BD9-28BD994D8015}" name="الصادر" displayName="الصادر" ref="A1:Q8" insertRowShift="1" totalsRowShown="0" headerRowDxfId="31">
  <autoFilter ref="A1:Q8" xr:uid="{C081F385-7DA8-4643-8BBB-C4989BAC8FC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3" xr3:uid="{4F77AAA7-A4FC-4FD1-AF34-61633E4B3904}" name="رقم اللوط"/>
    <tableColumn id="1" xr3:uid="{96621EB7-7AF2-4E9B-A5B9-818B1E2F7C0D}" name="التاريخ"/>
    <tableColumn id="7" xr3:uid="{1622D9C5-6CB1-40C5-8BD0-33021E82C81E}" name="العميل"/>
    <tableColumn id="2" xr3:uid="{AEDE9B10-B547-4763-A43E-0FBADD367D87}" name="رقم البراد"/>
    <tableColumn id="4" xr3:uid="{3F559B3C-D69F-4E79-9A6B-B111B98EEC10}" name="الوزن القائم"/>
    <tableColumn id="5" xr3:uid="{13FD2652-723A-46BE-A341-B149E8B37A5A}" name="الوزن الفارغ"/>
    <tableColumn id="6" xr3:uid="{23BBE10E-3399-4147-9DD7-450F460C1780}" name="الوزن الصافي">
      <calculatedColumnFormula>E2-F2</calculatedColumnFormula>
    </tableColumn>
    <tableColumn id="8" xr3:uid="{7D91A081-EE47-4C18-8ACD-47E5ADDE4F98}" name="مصاريف اللجان" dataDxfId="30">
      <calculatedColumnFormula>SUMIFS(مصاريف_اللوط[المبلغ],مصاريف_اللوط[اللوط],الصادر[رقم اللوط])</calculatedColumnFormula>
    </tableColumn>
    <tableColumn id="9" xr3:uid="{B87F5DF7-16E3-4CB6-8D94-2B64215153C8}" name="عدد الباليتات" dataDxfId="29">
      <calculatedColumnFormula>SUMIFS(بيان_اللوط[عدد الباليتات],بيان_اللوط[رقم اللوط],الصادر[رقم اللوط])</calculatedColumnFormula>
    </tableColumn>
    <tableColumn id="17" xr3:uid="{11CF69B8-0CEF-4729-B657-76D32016D020}" name="تكلفة باليتات" dataDxfId="28">
      <calculatedColumnFormula>VLOOKUP(الصادر[رقم اللوط],loat_details[],3,FALSE)</calculatedColumnFormula>
    </tableColumn>
    <tableColumn id="10" xr3:uid="{402A66A0-0CA4-42A5-ABFA-70A425122116}" name="عدد الشكاير" dataDxfId="27">
      <calculatedColumnFormula>VLOOKUP(الصادر[رقم اللوط],loat_details[],4,FALSE)</calculatedColumnFormula>
    </tableColumn>
    <tableColumn id="16" xr3:uid="{9C4B2B06-14ED-4E5F-9005-5010D445F524}" name="تكلفة شكاير" dataDxfId="26">
      <calculatedColumnFormula>VLOOKUP(الصادر[رقم اللوط],loat_details[],5,FALSE)</calculatedColumnFormula>
    </tableColumn>
    <tableColumn id="11" xr3:uid="{79071040-005C-42BF-8D4A-B161D5FDCC90}" name="تكاليف الفرز والتعبئه" dataDxfId="25">
      <calculatedColumnFormula>VLOOKUP(الصادر[رقم اللوط],Table1[[رقم اللوط ]:[الاجمالي]],1,FALSE)</calculatedColumnFormula>
    </tableColumn>
    <tableColumn id="12" xr3:uid="{123F649E-F928-4B19-8924-A8476BEFD82D}" name="تكايف الرص" dataDxfId="24">
      <calculatedColumnFormula>VLOOKUP(الصادر[رقم اللوط],بيان_الرص[[رقم اللوط]:[الاجمالي]],1,FALSE)</calculatedColumnFormula>
    </tableColumn>
    <tableColumn id="13" xr3:uid="{E7211189-7223-4953-A471-542E9F774EB8}" name="تاكليف الخياطه" dataDxfId="23">
      <calculatedColumnFormula>VLOOKUP(الصادر[رقم اللوط],Table14[[رقم اللوط]:[الاجمالي]],1,FALSE)</calculatedColumnFormula>
    </tableColumn>
    <tableColumn id="15" xr3:uid="{337FE939-D2DE-4720-8C4D-ACC4EF41A88F}" name="ارضية المحطه" dataDxfId="22">
      <calculatedColumnFormula>(الصادر[[#This Row],[الوزن الصافي]]-1)*100</calculatedColumnFormula>
    </tableColumn>
    <tableColumn id="14" xr3:uid="{824FF1D9-15A5-4F62-A678-B0594967AE85}" name="اجمالي التكاليف" dataDxfId="21">
      <calculatedColumnFormula>SUM(الصادر[[#This Row],[تاكليف الخياطه]],الصادر[[#This Row],[تكايف الرص]],الصادر[[#This Row],[تكاليف الفرز والتعبئه]],الصادر[[#This Row],[مصاريف اللجان]],الصادر[[#This Row],[ارضية المحطه]],الصادر[[#This Row],[تكلفة شكاير]],الصادر[[#This Row],[تكلفة باليتات]])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D2328D3-5C33-44FC-91E7-B9DFB7CDD0C8}" name="بيان_اللوط" displayName="بيان_اللوط" ref="A1:G16" totalsRowShown="0">
  <autoFilter ref="A1:G16" xr:uid="{74F7F8A4-C214-486C-8E54-762B3CA70953}"/>
  <tableColumns count="7">
    <tableColumn id="1" xr3:uid="{EC576A8A-4A3C-46F6-BE3D-F153946B4050}" name="رقم اللوط"/>
    <tableColumn id="2" xr3:uid="{3219C0D1-39EF-4DDC-ADFB-0D53BF49D593}" name="عدد الباليتات"/>
    <tableColumn id="6" xr3:uid="{56B0F2B3-1FE8-425C-9BEE-5867E9B2EFD2}" name="نوع الباليته"/>
    <tableColumn id="3" xr3:uid="{D08554DA-C6F9-4CEC-981E-8FC9D71A3558}" name="عدد الشكاير"/>
    <tableColumn id="4" xr3:uid="{FEE55F1E-D8E0-426B-BE49-FF6F1AC7EB1C}" name="وزن الشكاره"/>
    <tableColumn id="7" xr3:uid="{B1323C0D-DB3B-4B10-AA84-25A88DCF5BC2}" name="اجمالي الشكاير" dataDxfId="20">
      <calculatedColumnFormula>بيان_اللوط[[#This Row],[عدد الباليتات]]*بيان_اللوط[[#This Row],[عدد الشكاير]]</calculatedColumnFormula>
    </tableColumn>
    <tableColumn id="5" xr3:uid="{3353D402-FE30-44E7-B9DA-73757B9C71A1}" name="الاجمالي" dataDxfId="19">
      <calculatedColumnFormula xml:space="preserve"> بيان_اللوط[[#This Row],[عدد الباليتات]]* VLOOKUP(بيان_اللوط[نوع الباليته],Table21[],2,FALSE)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3820F5-10DD-4F3B-AC4D-CD8F2DCA2125}" name="loat_details" displayName="loat_details" ref="J1:N12" totalsRowShown="0">
  <autoFilter ref="J1:N12" xr:uid="{0883488C-D91C-4FCA-A3F0-2827D3EC9593}"/>
  <tableColumns count="5">
    <tableColumn id="1" xr3:uid="{5BC6F7EE-1B32-4AD6-92D0-EFCE72124471}" name="رقم اللوط"/>
    <tableColumn id="2" xr3:uid="{87AB9644-1A7A-47BB-A594-38F82CFBABC4}" name="اجمالي باليتات">
      <calculatedColumnFormula>SUMIFS(بيان_اللوط[عدد الباليتات],بيان_اللوط[رقم اللوط],loat_details[[#This Row],[رقم اللوط]])</calculatedColumnFormula>
    </tableColumn>
    <tableColumn id="5" xr3:uid="{C2C972A6-66EA-42DE-A3F0-0EB037D8E5BD}" name="تكلفة باليتات" dataDxfId="18">
      <calculatedColumnFormula>SUMIFS(بيان_اللوط[الاجمالي],بيان_اللوط[رقم اللوط],loat_details[[#This Row],[رقم اللوط]])</calculatedColumnFormula>
    </tableColumn>
    <tableColumn id="3" xr3:uid="{8E21256B-2F26-409F-B036-7B3BE18EC9A4}" name="اجمالي شكاير" dataDxfId="17">
      <calculatedColumnFormula>SUMIFS(بيان_اللوط[اجمالي الشكاير],بيان_اللوط[رقم اللوط],loat_details[رقم اللوط])</calculatedColumnFormula>
    </tableColumn>
    <tableColumn id="4" xr3:uid="{B91DA444-ACA6-4D32-8C5E-400300FA0A60}" name="تكلفة شكاير" dataDxfId="0">
      <calculatedColumnFormula>loat_details[[#This Row],[اجمالي شكاير]] * VLOOKUP(بيان_اللوط[وزن الشكاره],Table22[],2,FALSE)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37FDFA-CDA1-4EB5-8358-FBD138521014}" name="Table1" displayName="Table1" ref="A3:D12" totalsRowCount="1">
  <autoFilter ref="A3:D11" xr:uid="{E1686DEE-6ABE-4375-9B79-D91A1C7B52D2}"/>
  <tableColumns count="4">
    <tableColumn id="1" xr3:uid="{D7F4319F-85FD-40C2-BD03-818457C2F489}" name="التاريخ"/>
    <tableColumn id="9" xr3:uid="{7903695D-6837-461F-B699-401A180960D3}" name="رقم اللوط "/>
    <tableColumn id="3" xr3:uid="{34A2A17D-F419-4959-BAB5-A185EF3CD43E}" name="الوزن" dataDxfId="16">
      <calculatedColumnFormula>VLOOKUP(Table1[[رقم اللوط ]],الصادر[[رقم اللوط]:[الوزن الصافي]],4,FALSE)</calculatedColumnFormula>
    </tableColumn>
    <tableColumn id="4" xr3:uid="{1AAA9376-2542-44D5-9B01-CB970101F5B6}" name="الاجمالي" totalsRowFunction="custom" dataDxfId="15">
      <calculatedColumnFormula>(Table1[[#This Row],[الوزن]]-1)*110</calculatedColumnFormula>
      <totalsRowFormula>SUM(Table1[الاجمالي])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6"/>
  <sheetViews>
    <sheetView rightToLeft="1" workbookViewId="0">
      <selection activeCell="A7" sqref="A7:D10"/>
    </sheetView>
  </sheetViews>
  <sheetFormatPr defaultRowHeight="14.25" x14ac:dyDescent="0.2"/>
  <sheetData>
    <row r="1" spans="1:26" x14ac:dyDescent="0.2">
      <c r="A1" s="30" t="s">
        <v>82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7" spans="1:26" x14ac:dyDescent="0.2">
      <c r="A7" s="31" t="s">
        <v>0</v>
      </c>
      <c r="B7" s="31"/>
      <c r="C7" s="31"/>
      <c r="D7" s="31"/>
    </row>
    <row r="8" spans="1:26" x14ac:dyDescent="0.2">
      <c r="A8" s="31"/>
      <c r="B8" s="31"/>
      <c r="C8" s="31"/>
      <c r="D8" s="31"/>
    </row>
    <row r="9" spans="1:26" x14ac:dyDescent="0.2">
      <c r="A9" s="31"/>
      <c r="B9" s="31"/>
      <c r="C9" s="31"/>
      <c r="D9" s="31"/>
    </row>
    <row r="10" spans="1:26" x14ac:dyDescent="0.2">
      <c r="A10" s="31"/>
      <c r="B10" s="31"/>
      <c r="C10" s="31"/>
      <c r="D10" s="31"/>
    </row>
    <row r="11" spans="1:26" ht="13.5" customHeight="1" x14ac:dyDescent="0.35">
      <c r="A11" s="1"/>
      <c r="B11" s="1"/>
      <c r="C11" s="1"/>
      <c r="D11" s="1"/>
    </row>
    <row r="12" spans="1:26" ht="17.25" customHeight="1" x14ac:dyDescent="0.35">
      <c r="A12" s="1"/>
      <c r="B12" s="1"/>
      <c r="C12" s="1"/>
      <c r="D12" s="1"/>
    </row>
    <row r="13" spans="1:26" x14ac:dyDescent="0.2">
      <c r="A13" s="32" t="s">
        <v>1</v>
      </c>
      <c r="B13" s="32"/>
      <c r="C13" s="32"/>
      <c r="D13" s="32"/>
    </row>
    <row r="14" spans="1:26" x14ac:dyDescent="0.2">
      <c r="A14" s="32"/>
      <c r="B14" s="32"/>
      <c r="C14" s="32"/>
      <c r="D14" s="32"/>
    </row>
    <row r="15" spans="1:26" x14ac:dyDescent="0.2">
      <c r="A15" s="32"/>
      <c r="B15" s="32"/>
      <c r="C15" s="32"/>
      <c r="D15" s="32"/>
    </row>
    <row r="16" spans="1:26" x14ac:dyDescent="0.2">
      <c r="A16" s="32"/>
      <c r="B16" s="32"/>
      <c r="C16" s="32"/>
      <c r="D16" s="32"/>
    </row>
  </sheetData>
  <mergeCells count="3">
    <mergeCell ref="A1:Z5"/>
    <mergeCell ref="A7:D10"/>
    <mergeCell ref="A13:D16"/>
  </mergeCells>
  <hyperlinks>
    <hyperlink ref="A7:D10" location="الموردين!A1" display="الموردين" xr:uid="{83BA5803-8130-4573-87DC-76ACEF520BE2}"/>
    <hyperlink ref="A13:D16" location="المستوردين!A1" display="المستوردين" xr:uid="{CE984694-4436-40D6-BEB2-4E17E47E6491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CB420-B964-4999-A7F8-53A2B6622729}">
  <sheetPr codeName="Sheet10"/>
  <dimension ref="A1:G9"/>
  <sheetViews>
    <sheetView rightToLeft="1" zoomScale="161" workbookViewId="0">
      <selection activeCell="D9" sqref="D9"/>
    </sheetView>
  </sheetViews>
  <sheetFormatPr defaultRowHeight="14.25" x14ac:dyDescent="0.2"/>
  <sheetData>
    <row r="1" spans="1:7" x14ac:dyDescent="0.2">
      <c r="A1" t="s">
        <v>2</v>
      </c>
      <c r="B1" t="s">
        <v>22</v>
      </c>
      <c r="C1" t="s">
        <v>45</v>
      </c>
      <c r="D1" t="s">
        <v>13</v>
      </c>
      <c r="F1" t="s">
        <v>2</v>
      </c>
      <c r="G1" t="s">
        <v>21</v>
      </c>
    </row>
    <row r="2" spans="1:7" x14ac:dyDescent="0.2">
      <c r="A2" t="s">
        <v>47</v>
      </c>
      <c r="B2">
        <v>251</v>
      </c>
      <c r="C2" t="str">
        <f>VLOOKUP(Table14[رقم اللوط],الصادر[[#All],[رقم اللوط]:[الوزن الصافي]],4,FALSE)</f>
        <v>1236/4569</v>
      </c>
      <c r="D2" t="e">
        <f>(Table14[[#This Row],[الوزن]] -1) *6</f>
        <v>#VALUE!</v>
      </c>
      <c r="F2" t="s">
        <v>47</v>
      </c>
      <c r="G2">
        <v>500</v>
      </c>
    </row>
    <row r="3" spans="1:7" x14ac:dyDescent="0.2">
      <c r="A3" t="s">
        <v>47</v>
      </c>
      <c r="B3">
        <v>252</v>
      </c>
      <c r="C3" t="str">
        <f>VLOOKUP(Table14[رقم اللوط],الصادر[[#All],[رقم اللوط]:[الوزن الصافي]],4,FALSE)</f>
        <v>1254/2563</v>
      </c>
      <c r="D3" t="e">
        <f>(Table14[[#This Row],[الوزن]] -1) *6</f>
        <v>#VALUE!</v>
      </c>
      <c r="F3" t="s">
        <v>49</v>
      </c>
      <c r="G3">
        <v>200</v>
      </c>
    </row>
    <row r="4" spans="1:7" x14ac:dyDescent="0.2">
      <c r="A4" t="s">
        <v>49</v>
      </c>
      <c r="B4">
        <v>253</v>
      </c>
      <c r="C4" t="str">
        <f>VLOOKUP(Table14[رقم اللوط],الصادر[[#All],[رقم اللوط]:[الوزن الصافي]],4,FALSE)</f>
        <v>7854/8956</v>
      </c>
      <c r="D4" t="e">
        <f>(Table14[[#This Row],[الوزن]] -1) *6</f>
        <v>#VALUE!</v>
      </c>
      <c r="F4" t="s">
        <v>13</v>
      </c>
      <c r="G4">
        <f>SUM(Table15[المبلغ])</f>
        <v>700</v>
      </c>
    </row>
    <row r="5" spans="1:7" x14ac:dyDescent="0.2">
      <c r="A5" t="s">
        <v>49</v>
      </c>
      <c r="B5">
        <v>254</v>
      </c>
      <c r="C5" t="str">
        <f>VLOOKUP(Table14[رقم اللوط],الصادر[[#All],[رقم اللوط]:[الوزن الصافي]],4,FALSE)</f>
        <v>1452/3652</v>
      </c>
      <c r="D5" t="e">
        <f>(Table14[[#This Row],[الوزن]] -1) *6</f>
        <v>#VALUE!</v>
      </c>
      <c r="F5" t="s">
        <v>46</v>
      </c>
      <c r="G5" t="e">
        <f>Table14[[#Totals],[الاجمالي]]-Table15[[#Totals],[المبلغ]]</f>
        <v>#VALUE!</v>
      </c>
    </row>
    <row r="6" spans="1:7" x14ac:dyDescent="0.2">
      <c r="A6" t="s">
        <v>51</v>
      </c>
      <c r="B6">
        <v>255</v>
      </c>
      <c r="C6" t="str">
        <f>VLOOKUP(Table14[رقم اللوط],الصادر[[#All],[رقم اللوط]:[الوزن الصافي]],4,FALSE)</f>
        <v>1254/8965</v>
      </c>
      <c r="D6" t="e">
        <f>(Table14[[#This Row],[الوزن]] -1) *6</f>
        <v>#VALUE!</v>
      </c>
    </row>
    <row r="7" spans="1:7" x14ac:dyDescent="0.2">
      <c r="A7" t="s">
        <v>52</v>
      </c>
      <c r="B7">
        <v>256</v>
      </c>
      <c r="C7" s="2" t="str">
        <f>VLOOKUP(Table14[رقم اللوط],الصادر[[#All],[رقم اللوط]:[الوزن الصافي]],4,FALSE)</f>
        <v>1254/895</v>
      </c>
      <c r="D7" t="e">
        <f>(Table14[[#This Row],[الوزن]] -1) *6</f>
        <v>#VALUE!</v>
      </c>
    </row>
    <row r="8" spans="1:7" x14ac:dyDescent="0.2">
      <c r="A8" t="s">
        <v>86</v>
      </c>
      <c r="B8">
        <v>257</v>
      </c>
      <c r="C8" s="2" t="str">
        <f>VLOOKUP(Table14[رقم اللوط],الصادر[[#All],[رقم اللوط]:[الوزن الصافي]],4,FALSE)</f>
        <v>7854/96321</v>
      </c>
      <c r="D8" t="e">
        <f>(Table14[[#This Row],[الوزن]] -1) *6</f>
        <v>#VALUE!</v>
      </c>
    </row>
    <row r="9" spans="1:7" x14ac:dyDescent="0.2">
      <c r="D9" t="e">
        <f>SUM(Table14[الاجمالي])</f>
        <v>#VALUE!</v>
      </c>
    </row>
  </sheetData>
  <dataValidations count="1">
    <dataValidation type="list" allowBlank="1" showInputMessage="1" showErrorMessage="1" sqref="B2:B8" xr:uid="{CAA8F36D-ADED-4DE3-9C58-47B329B61111}">
      <formula1>loat_number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6622-56C2-48D2-9739-3656BC7DE89C}">
  <sheetPr codeName="Sheet11"/>
  <dimension ref="A1:C10"/>
  <sheetViews>
    <sheetView rightToLeft="1" zoomScale="200" zoomScaleNormal="200" workbookViewId="0">
      <selection activeCell="B10" sqref="B10"/>
    </sheetView>
  </sheetViews>
  <sheetFormatPr defaultRowHeight="14.25" x14ac:dyDescent="0.2"/>
  <cols>
    <col min="2" max="2" width="12.375" bestFit="1" customWidth="1"/>
  </cols>
  <sheetData>
    <row r="1" spans="1:3" x14ac:dyDescent="0.2">
      <c r="A1" t="s">
        <v>35</v>
      </c>
      <c r="B1" t="s">
        <v>30</v>
      </c>
      <c r="C1" t="s">
        <v>21</v>
      </c>
    </row>
    <row r="2" spans="1:3" x14ac:dyDescent="0.2">
      <c r="A2">
        <v>251</v>
      </c>
      <c r="B2" t="s">
        <v>37</v>
      </c>
      <c r="C2">
        <v>800</v>
      </c>
    </row>
    <row r="3" spans="1:3" x14ac:dyDescent="0.2">
      <c r="A3">
        <v>251</v>
      </c>
      <c r="B3" t="s">
        <v>38</v>
      </c>
      <c r="C3">
        <v>700</v>
      </c>
    </row>
    <row r="4" spans="1:3" x14ac:dyDescent="0.2">
      <c r="A4">
        <v>251</v>
      </c>
      <c r="B4" t="s">
        <v>42</v>
      </c>
      <c r="C4">
        <v>100</v>
      </c>
    </row>
    <row r="5" spans="1:3" x14ac:dyDescent="0.2">
      <c r="A5">
        <v>251</v>
      </c>
      <c r="B5" t="s">
        <v>43</v>
      </c>
      <c r="C5">
        <v>800</v>
      </c>
    </row>
    <row r="6" spans="1:3" x14ac:dyDescent="0.2">
      <c r="A6">
        <v>252</v>
      </c>
      <c r="B6" t="s">
        <v>37</v>
      </c>
      <c r="C6">
        <v>500</v>
      </c>
    </row>
    <row r="7" spans="1:3" x14ac:dyDescent="0.2">
      <c r="A7">
        <v>252</v>
      </c>
      <c r="B7" t="s">
        <v>43</v>
      </c>
      <c r="C7">
        <v>800</v>
      </c>
    </row>
    <row r="8" spans="1:3" x14ac:dyDescent="0.2">
      <c r="A8">
        <v>252</v>
      </c>
      <c r="B8" t="s">
        <v>42</v>
      </c>
      <c r="C8">
        <v>600</v>
      </c>
    </row>
    <row r="9" spans="1:3" x14ac:dyDescent="0.2">
      <c r="A9">
        <v>257</v>
      </c>
      <c r="B9" t="s">
        <v>42</v>
      </c>
      <c r="C9">
        <v>100</v>
      </c>
    </row>
    <row r="10" spans="1:3" x14ac:dyDescent="0.2">
      <c r="A10">
        <v>257</v>
      </c>
      <c r="B10" t="s">
        <v>43</v>
      </c>
      <c r="C10">
        <v>500</v>
      </c>
    </row>
  </sheetData>
  <dataValidations count="1">
    <dataValidation type="list" allowBlank="1" showInputMessage="1" showErrorMessage="1" sqref="A2:A10" xr:uid="{F965E0F9-3057-4E72-A943-0874C0B38A97}">
      <formula1>loat_number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DF3AD1-5097-4E3C-B8EA-1FF1BF0682AB}">
          <x14:formula1>
            <xm:f>'قاعدة بيانات'!$F$2:$F$5</xm:f>
          </x14:formula1>
          <xm:sqref>B2:B10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4FCC9-B595-4B0E-8C0E-99C0AB5D5B5E}">
  <sheetPr codeName="Sheet12"/>
  <dimension ref="A1:R8"/>
  <sheetViews>
    <sheetView rightToLeft="1" topLeftCell="H1" zoomScale="203" workbookViewId="0">
      <selection activeCell="Q7" sqref="Q7"/>
    </sheetView>
  </sheetViews>
  <sheetFormatPr defaultColWidth="12.5" defaultRowHeight="14.25" x14ac:dyDescent="0.2"/>
  <cols>
    <col min="8" max="8" width="10.625" bestFit="1" customWidth="1"/>
    <col min="9" max="9" width="6.375" bestFit="1" customWidth="1"/>
    <col min="12" max="12" width="9.875" bestFit="1" customWidth="1"/>
    <col min="13" max="14" width="7.625" bestFit="1" customWidth="1"/>
    <col min="15" max="15" width="9.75" bestFit="1" customWidth="1"/>
    <col min="16" max="16" width="6.125" bestFit="1" customWidth="1"/>
    <col min="17" max="17" width="9.125" bestFit="1" customWidth="1"/>
    <col min="19" max="19" width="9.875" bestFit="1" customWidth="1"/>
    <col min="20" max="20" width="8.5" bestFit="1" customWidth="1"/>
    <col min="21" max="21" width="8.375" bestFit="1" customWidth="1"/>
    <col min="22" max="22" width="10.125" bestFit="1" customWidth="1"/>
    <col min="23" max="23" width="9.25" bestFit="1" customWidth="1"/>
    <col min="24" max="24" width="13.125" bestFit="1" customWidth="1"/>
  </cols>
  <sheetData>
    <row r="1" spans="1:18" x14ac:dyDescent="0.2">
      <c r="A1" t="s">
        <v>54</v>
      </c>
      <c r="C1" t="s">
        <v>62</v>
      </c>
      <c r="D1" t="s">
        <v>10</v>
      </c>
      <c r="F1" t="s">
        <v>36</v>
      </c>
      <c r="H1" t="s">
        <v>41</v>
      </c>
      <c r="I1" t="s">
        <v>10</v>
      </c>
      <c r="L1" s="14" t="s">
        <v>2</v>
      </c>
      <c r="M1" s="14" t="s">
        <v>92</v>
      </c>
      <c r="N1" s="14" t="s">
        <v>10</v>
      </c>
      <c r="O1" s="14" t="s">
        <v>13</v>
      </c>
      <c r="P1" s="14" t="s">
        <v>46</v>
      </c>
      <c r="Q1" s="14" t="s">
        <v>95</v>
      </c>
    </row>
    <row r="2" spans="1:18" x14ac:dyDescent="0.2">
      <c r="A2" t="s">
        <v>48</v>
      </c>
      <c r="C2" t="s">
        <v>63</v>
      </c>
      <c r="D2">
        <v>240</v>
      </c>
      <c r="F2" t="s">
        <v>37</v>
      </c>
      <c r="H2">
        <v>12</v>
      </c>
      <c r="I2">
        <v>2.3199999999999998</v>
      </c>
      <c r="L2" s="28">
        <v>44114</v>
      </c>
      <c r="M2">
        <v>2000</v>
      </c>
      <c r="N2" s="16">
        <v>2.25</v>
      </c>
      <c r="O2" s="27">
        <f>Table28[[#This Row],[السعر]]*Table28[[#This Row],[الكميه]]</f>
        <v>4500</v>
      </c>
      <c r="P2">
        <f ca="1">IF(ISNUMBER(OFFSET(Table28[[#This Row],[الرصيد]],-1,0)),Table28[الكميه]+OFFSET(Table28[[#This Row],[الرصيد]],-1,0),Table28[الكميه])</f>
        <v>2000</v>
      </c>
      <c r="Q2" s="16">
        <f ca="1" xml:space="preserve">      IF(ISNUMBER( OFFSET(Table28[[#This Row],[متوسط السعر]],-1,0) ),   IF( Table28[[#This Row],[الكميه]]&gt;0,  (  (OFFSET(Table28[[#This Row],[الرصيد]],-1,0) * OFFSET(Table28[[#This Row],[متوسط السعر]],-1,0))    + Table28[[#This Row],[الاجمالي]] ) / Table28[[#This Row],[الرصيد]],   OFFSET(Table28[[#This Row],[متوسط السعر]],-1,0)  ),  Table28[[#This Row],[السعر]])</f>
        <v>2.25</v>
      </c>
    </row>
    <row r="3" spans="1:18" x14ac:dyDescent="0.2">
      <c r="A3" t="s">
        <v>50</v>
      </c>
      <c r="C3" t="s">
        <v>66</v>
      </c>
      <c r="D3">
        <v>266</v>
      </c>
      <c r="F3" t="s">
        <v>38</v>
      </c>
      <c r="H3">
        <v>7</v>
      </c>
      <c r="I3">
        <v>1.25</v>
      </c>
      <c r="L3" s="28">
        <v>44175</v>
      </c>
      <c r="M3">
        <v>3000</v>
      </c>
      <c r="N3" s="16">
        <v>2.5</v>
      </c>
      <c r="O3" s="27">
        <f>Table28[[#This Row],[السعر]]*Table28[[#This Row],[الكميه]]</f>
        <v>7500</v>
      </c>
      <c r="P3" s="2">
        <f ca="1">IF(ISNUMBER(OFFSET(Table28[[#This Row],[الرصيد]],-1,0)),Table28[الكميه]+OFFSET(Table28[[#This Row],[الرصيد]],-1,0),Table28[الكميه])</f>
        <v>5000</v>
      </c>
      <c r="Q3" s="16">
        <f ca="1" xml:space="preserve">      IF(ISNUMBER( OFFSET(Table28[[#This Row],[متوسط السعر]],-1,0) ),   IF( Table28[[#This Row],[الكميه]]&gt;0,  (  (OFFSET(Table28[[#This Row],[الرصيد]],-1,0) * OFFSET(Table28[[#This Row],[متوسط السعر]],-1,0))    + Table28[[#This Row],[الاجمالي]] ) / Table28[[#This Row],[الرصيد]],   OFFSET(Table28[[#This Row],[متوسط السعر]],-1,0)  ),  Table28[[#This Row],[السعر]])</f>
        <v>2.4</v>
      </c>
    </row>
    <row r="4" spans="1:18" x14ac:dyDescent="0.2">
      <c r="A4" t="s">
        <v>55</v>
      </c>
      <c r="F4" t="s">
        <v>42</v>
      </c>
      <c r="L4" s="28">
        <v>44118</v>
      </c>
      <c r="M4">
        <v>-1000</v>
      </c>
      <c r="N4" s="16"/>
      <c r="O4" s="27">
        <f>Table28[[#This Row],[السعر]]*Table28[[#This Row],[الكميه]]</f>
        <v>0</v>
      </c>
      <c r="P4" s="2">
        <f ca="1">IF(ISNUMBER(OFFSET(Table28[[#This Row],[الرصيد]],-1,0)),Table28[الكميه]+OFFSET(Table28[[#This Row],[الرصيد]],-1,0),Table28[الكميه])</f>
        <v>4000</v>
      </c>
      <c r="Q4" s="16">
        <f ca="1" xml:space="preserve">      IF(ISNUMBER( OFFSET(Table28[[#This Row],[متوسط السعر]],-1,0) ),   IF( Table28[[#This Row],[الكميه]]&gt;0,  (  (OFFSET(Table28[[#This Row],[الرصيد]],-1,0) * OFFSET(Table28[[#This Row],[متوسط السعر]],-1,0))    + Table28[[#This Row],[الاجمالي]] ) / Table28[[#This Row],[الرصيد]],   OFFSET(Table28[[#This Row],[متوسط السعر]],-1,0)  ),  Table28[[#This Row],[السعر]])</f>
        <v>2.4</v>
      </c>
    </row>
    <row r="5" spans="1:18" x14ac:dyDescent="0.2">
      <c r="F5" t="s">
        <v>43</v>
      </c>
      <c r="L5" s="28">
        <v>44118</v>
      </c>
      <c r="M5">
        <v>-2000</v>
      </c>
      <c r="N5" s="16"/>
      <c r="O5" s="27">
        <f>Table28[[#This Row],[السعر]]*Table28[[#This Row],[الكميه]]</f>
        <v>0</v>
      </c>
      <c r="P5" s="2">
        <f ca="1">IF(ISNUMBER(OFFSET(Table28[[#This Row],[الرصيد]],-1,0)),Table28[الكميه]+OFFSET(Table28[[#This Row],[الرصيد]],-1,0),Table28[الكميه])</f>
        <v>2000</v>
      </c>
      <c r="Q5" s="16">
        <f ca="1" xml:space="preserve">      IF(ISNUMBER( OFFSET(Table28[[#This Row],[متوسط السعر]],-1,0) ),   IF( Table28[[#This Row],[الكميه]]&gt;0,  (  (OFFSET(Table28[[#This Row],[الرصيد]],-1,0) * OFFSET(Table28[[#This Row],[متوسط السعر]],-1,0))    + Table28[[#This Row],[الاجمالي]] ) / Table28[[#This Row],[الرصيد]],   OFFSET(Table28[[#This Row],[متوسط السعر]],-1,0)  ),  Table28[[#This Row],[السعر]])</f>
        <v>2.4</v>
      </c>
    </row>
    <row r="6" spans="1:18" x14ac:dyDescent="0.2">
      <c r="L6" s="28">
        <v>44119</v>
      </c>
      <c r="M6">
        <v>3000</v>
      </c>
      <c r="N6" s="16">
        <v>2.5</v>
      </c>
      <c r="O6" s="27">
        <f>Table28[[#This Row],[السعر]]*Table28[[#This Row],[الكميه]]</f>
        <v>7500</v>
      </c>
      <c r="P6" s="2">
        <f ca="1">IF(ISNUMBER(OFFSET(Table28[[#This Row],[الرصيد]],-1,0)),Table28[الكميه]+OFFSET(Table28[[#This Row],[الرصيد]],-1,0),Table28[الكميه])</f>
        <v>5000</v>
      </c>
      <c r="Q6" s="16">
        <f ca="1" xml:space="preserve">      IF(ISNUMBER( OFFSET(Table28[[#This Row],[متوسط السعر]],-1,0) ),   IF( Table28[[#This Row],[الكميه]]&gt;0,  (  (OFFSET(Table28[[#This Row],[الرصيد]],-1,0) * OFFSET(Table28[[#This Row],[متوسط السعر]],-1,0))    + Table28[[#This Row],[الاجمالي]] ) / Table28[[#This Row],[الرصيد]],   OFFSET(Table28[[#This Row],[متوسط السعر]],-1,0)  ),  Table28[[#This Row],[السعر]])</f>
        <v>2.46</v>
      </c>
    </row>
    <row r="7" spans="1:18" x14ac:dyDescent="0.2">
      <c r="L7" s="28">
        <v>44120</v>
      </c>
      <c r="M7">
        <v>10000</v>
      </c>
      <c r="N7" s="16">
        <v>2.5</v>
      </c>
      <c r="O7" s="27">
        <f>Table28[[#This Row],[السعر]]*Table28[[#This Row],[الكميه]]</f>
        <v>25000</v>
      </c>
      <c r="P7" s="2">
        <f ca="1">IF(ISNUMBER(OFFSET(Table28[[#This Row],[الرصيد]],-1,0)),Table28[الكميه]+OFFSET(Table28[[#This Row],[الرصيد]],-1,0),Table28[الكميه])</f>
        <v>15000</v>
      </c>
      <c r="Q7" s="16">
        <f ca="1" xml:space="preserve">      IF(ISNUMBER( OFFSET(Table28[[#This Row],[متوسط السعر]],-1,0) ),   IF( Table28[[#This Row],[الكميه]]&gt;0,  (  (OFFSET(Table28[[#This Row],[الرصيد]],-1,0) * OFFSET(Table28[[#This Row],[متوسط السعر]],-1,0))    + Table28[[#This Row],[الاجمالي]] ) / Table28[[#This Row],[الرصيد]],   OFFSET(Table28[[#This Row],[متوسط السعر]],-1,0)  ),  Table28[[#This Row],[السعر]])</f>
        <v>2.4866666666666668</v>
      </c>
    </row>
    <row r="8" spans="1:18" x14ac:dyDescent="0.2">
      <c r="L8" s="28">
        <v>44112</v>
      </c>
      <c r="M8">
        <v>1000</v>
      </c>
      <c r="N8" s="16"/>
      <c r="O8" s="27">
        <f>Table28[[#This Row],[السعر]]*Table28[[#This Row],[الكميه]]</f>
        <v>0</v>
      </c>
      <c r="P8" s="2">
        <f ca="1">IF(ISNUMBER(OFFSET(Table28[[#This Row],[الرصيد]],-1,0)),Table28[الكميه]+OFFSET(Table28[[#This Row],[الرصيد]],-1,0),Table28[الكميه])</f>
        <v>16000</v>
      </c>
      <c r="Q8" s="16">
        <f ca="1" xml:space="preserve">      IF(ISNUMBER( OFFSET(Table28[[#This Row],[متوسط السعر]],-1,0) ),   IF( Table28[[#This Row],[الكميه]]&gt;0,  (  (OFFSET(Table28[[#This Row],[الرصيد]],-1,0) * OFFSET(Table28[[#This Row],[متوسط السعر]],-1,0))    + Table28[[#This Row],[الاجمالي]] ) / Table28[[#This Row],[الرصيد]],   OFFSET(Table28[[#This Row],[متوسط السعر]],-1,0)  ),  Table28[[#This Row],[السعر]])</f>
        <v>2.3312499999999998</v>
      </c>
      <c r="R8" s="26"/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3828F-3E83-40A7-82DF-3D902A8A310A}">
  <sheetPr codeName="Sheet14"/>
  <dimension ref="A1:B3"/>
  <sheetViews>
    <sheetView rightToLeft="1" zoomScale="205" zoomScaleNormal="205" workbookViewId="0">
      <selection activeCell="D1" sqref="D1"/>
    </sheetView>
  </sheetViews>
  <sheetFormatPr defaultRowHeight="14.25" x14ac:dyDescent="0.2"/>
  <cols>
    <col min="1" max="1" width="9.375" bestFit="1" customWidth="1"/>
  </cols>
  <sheetData>
    <row r="1" spans="1:2" x14ac:dyDescent="0.2">
      <c r="A1" t="s">
        <v>14</v>
      </c>
      <c r="B1" t="s">
        <v>31</v>
      </c>
    </row>
    <row r="2" spans="1:2" x14ac:dyDescent="0.2">
      <c r="A2" t="s">
        <v>32</v>
      </c>
      <c r="B2" t="s">
        <v>34</v>
      </c>
    </row>
    <row r="3" spans="1:2" x14ac:dyDescent="0.2">
      <c r="A3" t="s">
        <v>33</v>
      </c>
      <c r="B3" t="s">
        <v>34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941ED-DA35-4542-A53A-26F34C22E747}">
  <sheetPr codeName="Sheet4"/>
  <dimension ref="A1:F7"/>
  <sheetViews>
    <sheetView rightToLeft="1" zoomScale="160" zoomScaleNormal="160" workbookViewId="0">
      <selection activeCell="D7" sqref="D7"/>
    </sheetView>
  </sheetViews>
  <sheetFormatPr defaultRowHeight="14.25" x14ac:dyDescent="0.2"/>
  <cols>
    <col min="1" max="1" width="9.875" bestFit="1" customWidth="1"/>
    <col min="6" max="6" width="11" customWidth="1"/>
    <col min="11" max="11" width="11.875" customWidth="1"/>
  </cols>
  <sheetData>
    <row r="1" spans="1:6" x14ac:dyDescent="0.2">
      <c r="A1" t="s">
        <v>2</v>
      </c>
      <c r="B1" t="s">
        <v>35</v>
      </c>
      <c r="C1" t="s">
        <v>92</v>
      </c>
      <c r="D1" t="s">
        <v>10</v>
      </c>
      <c r="E1" t="s">
        <v>46</v>
      </c>
      <c r="F1" t="s">
        <v>95</v>
      </c>
    </row>
    <row r="2" spans="1:6" x14ac:dyDescent="0.2">
      <c r="A2" t="s">
        <v>23</v>
      </c>
      <c r="C2">
        <v>5000</v>
      </c>
      <c r="D2">
        <v>2.5</v>
      </c>
      <c r="E2">
        <f ca="1">IF(ISNUMBER(OFFSET(Table36[[#This Row],[الرصيد]],-1,0)),  IF(Table36[[#This Row],[اللوط]],OFFSET(Table36[[#This Row],[الرصيد]],-1,0) - Table36[[#This Row],[الكميه]], OFFSET(Table36[[#This Row],[الرصيد]],-1,0)+Table36[[#This Row],[الكميه]]),Table36[[#This Row],[الكميه]])</f>
        <v>5000</v>
      </c>
      <c r="F2">
        <f ca="1">IF( NOT( ISNUMBER(OFFSET(Table36[[#This Row],[متوسط السعر]],-1,0))),Table36[[#This Row],[السعر]],  IF(Table36[[#This Row],[اللوط]],OFFSET(Table36[[#This Row],[متوسط السعر]],-1,0),       (   (OFFSET(Table36[[#This Row],[متوسط السعر]],-1,0) * OFFSET(Table36[[#This Row],[الرصيد]],-1,0))  + (Table36[[#This Row],[الكميه]]*Table36[[#This Row],[السعر]])     )  /  Table36[[#This Row],[الرصيد]]   ) )</f>
        <v>2.5</v>
      </c>
    </row>
    <row r="3" spans="1:6" x14ac:dyDescent="0.2">
      <c r="A3" t="str">
        <f>IF(Table36[[#This Row],[اللوط]],  VLOOKUP(Table36[[#This Row],[اللوط]],الصادر[[رقم اللوط]:[التاريخ]],2,FALSE), "")</f>
        <v>20/5/2023</v>
      </c>
      <c r="B3">
        <v>252</v>
      </c>
      <c r="C3">
        <f>IF(Table36[[#This Row],[اللوط]],VLOOKUP(Table36[[#This Row],[اللوط]],الصادر[[رقم اللوط]:[عدد الشكاير]],11,FALSE),"")</f>
        <v>3564</v>
      </c>
      <c r="E3">
        <f ca="1">IF(ISNUMBER(OFFSET(Table36[[#This Row],[الرصيد]],-1,0)),  IF(Table36[[#This Row],[اللوط]],OFFSET(Table36[[#This Row],[الرصيد]],-1,0) - Table36[[#This Row],[الكميه]], OFFSET(Table36[[#This Row],[الرصيد]],-1,0)+Table36[[#This Row],[الكميه]]),Table36[[#This Row],[الكميه]])</f>
        <v>1436</v>
      </c>
      <c r="F3">
        <f ca="1">IF( NOT( ISNUMBER(OFFSET(Table36[[#This Row],[متوسط السعر]],-1,0))),Table36[[#This Row],[السعر]],  IF(Table36[[#This Row],[اللوط]],OFFSET(Table36[[#This Row],[متوسط السعر]],-1,0),       (   (OFFSET(Table36[[#This Row],[متوسط السعر]],-1,0) * OFFSET(Table36[[#This Row],[الرصيد]],-1,0))  + (Table36[[#This Row],[الكميه]]*Table36[[#This Row],[السعر]])     )  /  Table36[[#This Row],[الرصيد]]   ) )</f>
        <v>2.5</v>
      </c>
    </row>
    <row r="4" spans="1:6" x14ac:dyDescent="0.2">
      <c r="A4" t="s">
        <v>39</v>
      </c>
      <c r="C4">
        <v>5000</v>
      </c>
      <c r="D4">
        <v>3</v>
      </c>
      <c r="E4" s="2">
        <f ca="1">IF(ISNUMBER(OFFSET(Table36[[#This Row],[الرصيد]],-1,0)),  IF(Table36[[#This Row],[اللوط]],OFFSET(Table36[[#This Row],[الرصيد]],-1,0) - Table36[[#This Row],[الكميه]], OFFSET(Table36[[#This Row],[الرصيد]],-1,0)+Table36[[#This Row],[الكميه]]),Table36[[#This Row],[الكميه]])</f>
        <v>6436</v>
      </c>
      <c r="F4" s="2">
        <f ca="1">IF( NOT( ISNUMBER(OFFSET(Table36[[#This Row],[متوسط السعر]],-1,0))),Table36[[#This Row],[السعر]],  IF(Table36[[#This Row],[اللوط]],OFFSET(Table36[[#This Row],[متوسط السعر]],-1,0),       (   (OFFSET(Table36[[#This Row],[متوسط السعر]],-1,0) * OFFSET(Table36[[#This Row],[الرصيد]],-1,0))  + (Table36[[#This Row],[الكميه]]*Table36[[#This Row],[السعر]])     )  /  Table36[[#This Row],[الرصيد]]   ) )</f>
        <v>2.8884400248601616</v>
      </c>
    </row>
    <row r="5" spans="1:6" x14ac:dyDescent="0.2">
      <c r="A5" t="s">
        <v>93</v>
      </c>
      <c r="C5">
        <v>1000</v>
      </c>
      <c r="D5">
        <v>2.5</v>
      </c>
      <c r="E5" s="2">
        <f ca="1">IF(ISNUMBER(OFFSET(Table36[[#This Row],[الرصيد]],-1,0)),  IF(Table36[[#This Row],[اللوط]],OFFSET(Table36[[#This Row],[الرصيد]],-1,0) - Table36[[#This Row],[الكميه]], OFFSET(Table36[[#This Row],[الرصيد]],-1,0)+Table36[[#This Row],[الكميه]]),Table36[[#This Row],[الكميه]])</f>
        <v>7436</v>
      </c>
      <c r="F5" s="2">
        <f ca="1">IF( NOT( ISNUMBER(OFFSET(Table36[[#This Row],[متوسط السعر]],-1,0))),Table36[[#This Row],[السعر]],  IF(Table36[[#This Row],[اللوط]],OFFSET(Table36[[#This Row],[متوسط السعر]],-1,0),       (   (OFFSET(Table36[[#This Row],[متوسط السعر]],-1,0) * OFFSET(Table36[[#This Row],[الرصيد]],-1,0))  + (Table36[[#This Row],[الكميه]]*Table36[[#This Row],[السعر]])     )  /  Table36[[#This Row],[الرصيد]]   ) )</f>
        <v>2.8362022592791822</v>
      </c>
    </row>
    <row r="6" spans="1:6" x14ac:dyDescent="0.2">
      <c r="A6" t="s">
        <v>94</v>
      </c>
      <c r="B6">
        <v>253</v>
      </c>
      <c r="C6">
        <f>IF(Table36[[#This Row],[اللوط]],VLOOKUP(Table36[[#This Row],[اللوط]],الصادر[[رقم اللوط]:[عدد الشكاير]],11,FALSE),"")</f>
        <v>2268</v>
      </c>
      <c r="E6" s="2">
        <f ca="1">IF(ISNUMBER(OFFSET(Table36[[#This Row],[الرصيد]],-1,0)),  IF(Table36[[#This Row],[اللوط]],OFFSET(Table36[[#This Row],[الرصيد]],-1,0) - Table36[[#This Row],[الكميه]], OFFSET(Table36[[#This Row],[الرصيد]],-1,0)+Table36[[#This Row],[الكميه]]),Table36[[#This Row],[الكميه]])</f>
        <v>5168</v>
      </c>
      <c r="F6" s="2">
        <f ca="1">IF( NOT( ISNUMBER(OFFSET(Table36[[#This Row],[متوسط السعر]],-1,0))),Table36[[#This Row],[السعر]],  IF(Table36[[#This Row],[اللوط]],OFFSET(Table36[[#This Row],[متوسط السعر]],-1,0),       (   (OFFSET(Table36[[#This Row],[متوسط السعر]],-1,0) * OFFSET(Table36[[#This Row],[الرصيد]],-1,0))  + (Table36[[#This Row],[الكميه]]*Table36[[#This Row],[السعر]])     )  /  Table36[[#This Row],[الرصيد]]   ) )</f>
        <v>2.8362022592791822</v>
      </c>
    </row>
    <row r="7" spans="1:6" x14ac:dyDescent="0.2">
      <c r="A7" t="s">
        <v>96</v>
      </c>
      <c r="C7">
        <v>5000</v>
      </c>
      <c r="D7">
        <v>2.25</v>
      </c>
      <c r="E7" s="2">
        <f ca="1">IF(ISNUMBER(OFFSET(Table36[[#This Row],[الرصيد]],-1,0)),  IF(Table36[[#This Row],[اللوط]],OFFSET(Table36[[#This Row],[الرصيد]],-1,0) - Table36[[#This Row],[الكميه]], OFFSET(Table36[[#This Row],[الرصيد]],-1,0)+Table36[[#This Row],[الكميه]]),Table36[[#This Row],[الكميه]])</f>
        <v>10168</v>
      </c>
      <c r="F7" s="2">
        <f ca="1">IF( NOT( ISNUMBER(OFFSET(Table36[[#This Row],[متوسط السعر]],-1,0))),Table36[[#This Row],[السعر]],  IF(Table36[[#This Row],[اللوط]],OFFSET(Table36[[#This Row],[متوسط السعر]],-1,0),       (   (OFFSET(Table36[[#This Row],[متوسط السعر]],-1,0) * OFFSET(Table36[[#This Row],[الرصيد]],-1,0))  + (Table36[[#This Row],[الكميه]]*Table36[[#This Row],[السعر]])     )  /  Table36[[#This Row],[الرصيد]]   ) )</f>
        <v>2.5479438705699069</v>
      </c>
    </row>
  </sheetData>
  <dataValidations count="1">
    <dataValidation type="list" showInputMessage="1" showErrorMessage="1" sqref="B2:B7" xr:uid="{FDBCDE70-EA00-4DEF-8B73-ED0B08BE1E00}">
      <formula1>loat_number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121CC-635E-4B50-A1AF-A36EEFE6B517}">
  <dimension ref="A1:F6"/>
  <sheetViews>
    <sheetView rightToLeft="1" zoomScale="164" workbookViewId="0">
      <selection activeCell="E8" sqref="E8"/>
    </sheetView>
  </sheetViews>
  <sheetFormatPr defaultRowHeight="14.25" x14ac:dyDescent="0.2"/>
  <sheetData>
    <row r="1" spans="1:6" x14ac:dyDescent="0.2">
      <c r="A1" t="s">
        <v>2</v>
      </c>
      <c r="B1" t="s">
        <v>35</v>
      </c>
      <c r="C1" t="s">
        <v>92</v>
      </c>
      <c r="D1" t="s">
        <v>10</v>
      </c>
      <c r="E1" t="s">
        <v>46</v>
      </c>
      <c r="F1" t="s">
        <v>95</v>
      </c>
    </row>
    <row r="2" spans="1:6" x14ac:dyDescent="0.2">
      <c r="A2" t="s">
        <v>23</v>
      </c>
      <c r="C2">
        <v>250</v>
      </c>
      <c r="D2">
        <v>240</v>
      </c>
      <c r="E2">
        <f ca="1">IF(ISNUMBER(OFFSET(Table3639[[#This Row],[الرصيد]],-1,0)),  IF(Table3639[[#This Row],[اللوط]],OFFSET(Table3639[[#This Row],[الرصيد]],-1,0) - Table3639[[#This Row],[الكميه]], OFFSET(Table3639[[#This Row],[الرصيد]],-1,0)+Table3639[[#This Row],[الكميه]]),Table3639[[#This Row],[الكميه]])</f>
        <v>250</v>
      </c>
      <c r="F2">
        <f ca="1">IF( NOT( ISNUMBER(OFFSET(Table3639[[#This Row],[متوسط السعر]],-1,0))),Table3639[[#This Row],[السعر]],  IF(Table3639[[#This Row],[اللوط]],OFFSET(Table3639[[#This Row],[متوسط السعر]],-1,0),       (   (OFFSET(Table3639[[#This Row],[متوسط السعر]],-1,0) * OFFSET(Table3639[[#This Row],[الرصيد]],-1,0))  + (Table3639[[#This Row],[الكميه]]*Table3639[[#This Row],[السعر]])     )  /  Table3639[[#This Row],[الرصيد]]   ) )</f>
        <v>240</v>
      </c>
    </row>
    <row r="3" spans="1:6" x14ac:dyDescent="0.2">
      <c r="A3" t="str">
        <f>IF(Table3639[[#This Row],[اللوط]],  VLOOKUP(Table3639[[#This Row],[اللوط]],الصادر[[رقم اللوط]:[التاريخ]],2,FALSE), "")</f>
        <v>20/5/2023</v>
      </c>
      <c r="B3">
        <v>252</v>
      </c>
      <c r="C3">
        <f>IF(Table3639[[#This Row],[اللوط]],VLOOKUP(Table3639[[#This Row],[اللوط]],الصادر[[رقم اللوط]:[عدد الشكاير]],9,FALSE),"")</f>
        <v>33</v>
      </c>
      <c r="E3">
        <f ca="1">IF(ISNUMBER(OFFSET(Table3639[[#This Row],[الرصيد]],-1,0)),  IF(Table3639[[#This Row],[اللوط]],OFFSET(Table3639[[#This Row],[الرصيد]],-1,0) - Table3639[[#This Row],[الكميه]], OFFSET(Table3639[[#This Row],[الرصيد]],-1,0)+Table3639[[#This Row],[الكميه]]),Table3639[[#This Row],[الكميه]])</f>
        <v>217</v>
      </c>
      <c r="F3">
        <f ca="1">IF( NOT( ISNUMBER(OFFSET(Table3639[[#This Row],[متوسط السعر]],-1,0))),Table3639[[#This Row],[السعر]],  IF(Table3639[[#This Row],[اللوط]],OFFSET(Table3639[[#This Row],[متوسط السعر]],-1,0),       (   (OFFSET(Table3639[[#This Row],[متوسط السعر]],-1,0) * OFFSET(Table3639[[#This Row],[الرصيد]],-1,0))  + (Table3639[[#This Row],[الكميه]]*Table3639[[#This Row],[السعر]])     )  /  Table3639[[#This Row],[الرصيد]]   ) )</f>
        <v>240</v>
      </c>
    </row>
    <row r="4" spans="1:6" x14ac:dyDescent="0.2">
      <c r="A4" t="s">
        <v>39</v>
      </c>
      <c r="C4">
        <v>250</v>
      </c>
      <c r="D4">
        <v>250</v>
      </c>
      <c r="E4" s="2">
        <f ca="1">IF(ISNUMBER(OFFSET(Table3639[[#This Row],[الرصيد]],-1,0)),  IF(Table3639[[#This Row],[اللوط]],OFFSET(Table3639[[#This Row],[الرصيد]],-1,0) - Table3639[[#This Row],[الكميه]], OFFSET(Table3639[[#This Row],[الرصيد]],-1,0)+Table3639[[#This Row],[الكميه]]),Table3639[[#This Row],[الكميه]])</f>
        <v>467</v>
      </c>
      <c r="F4" s="2">
        <f ca="1">IF( NOT( ISNUMBER(OFFSET(Table3639[[#This Row],[متوسط السعر]],-1,0))),Table3639[[#This Row],[السعر]],  IF(Table3639[[#This Row],[اللوط]],OFFSET(Table3639[[#This Row],[متوسط السعر]],-1,0),       (   (OFFSET(Table3639[[#This Row],[متوسط السعر]],-1,0) * OFFSET(Table3639[[#This Row],[الرصيد]],-1,0))  + (Table3639[[#This Row],[الكميه]]*Table3639[[#This Row],[السعر]])     )  /  Table3639[[#This Row],[الرصيد]]   ) )</f>
        <v>245.35331905781584</v>
      </c>
    </row>
    <row r="5" spans="1:6" x14ac:dyDescent="0.2">
      <c r="A5" t="s">
        <v>93</v>
      </c>
      <c r="C5">
        <v>250</v>
      </c>
      <c r="D5">
        <v>260</v>
      </c>
      <c r="E5" s="2">
        <f ca="1">IF(ISNUMBER(OFFSET(Table3639[[#This Row],[الرصيد]],-1,0)),  IF(Table3639[[#This Row],[اللوط]],OFFSET(Table3639[[#This Row],[الرصيد]],-1,0) - Table3639[[#This Row],[الكميه]], OFFSET(Table3639[[#This Row],[الرصيد]],-1,0)+Table3639[[#This Row],[الكميه]]),Table3639[[#This Row],[الكميه]])</f>
        <v>717</v>
      </c>
      <c r="F5" s="2">
        <f ca="1">IF( NOT( ISNUMBER(OFFSET(Table3639[[#This Row],[متوسط السعر]],-1,0))),Table3639[[#This Row],[السعر]],  IF(Table3639[[#This Row],[اللوط]],OFFSET(Table3639[[#This Row],[متوسط السعر]],-1,0),       (   (OFFSET(Table3639[[#This Row],[متوسط السعر]],-1,0) * OFFSET(Table3639[[#This Row],[الرصيد]],-1,0))  + (Table3639[[#This Row],[الكميه]]*Table3639[[#This Row],[السعر]])     )  /  Table3639[[#This Row],[الرصيد]]   ) )</f>
        <v>250.46025104602509</v>
      </c>
    </row>
    <row r="6" spans="1:6" x14ac:dyDescent="0.2">
      <c r="A6" t="s">
        <v>94</v>
      </c>
      <c r="B6">
        <v>253</v>
      </c>
      <c r="C6">
        <f>IF(Table3639[[#This Row],[اللوط]],VLOOKUP(Table3639[[#This Row],[اللوط]],الصادر[[رقم اللوط]:[عدد الشكاير]],11,FALSE),"")</f>
        <v>2268</v>
      </c>
      <c r="E6" s="2">
        <f ca="1">IF(ISNUMBER(OFFSET(Table3639[[#This Row],[الرصيد]],-1,0)),  IF(Table3639[[#This Row],[اللوط]],OFFSET(Table3639[[#This Row],[الرصيد]],-1,0) - Table3639[[#This Row],[الكميه]], OFFSET(Table3639[[#This Row],[الرصيد]],-1,0)+Table3639[[#This Row],[الكميه]]),Table3639[[#This Row],[الكميه]])</f>
        <v>-1551</v>
      </c>
      <c r="F6" s="2">
        <f ca="1">IF( NOT( ISNUMBER(OFFSET(Table3639[[#This Row],[متوسط السعر]],-1,0))),Table3639[[#This Row],[السعر]],  IF(Table3639[[#This Row],[اللوط]],OFFSET(Table3639[[#This Row],[متوسط السعر]],-1,0),       (   (OFFSET(Table3639[[#This Row],[متوسط السعر]],-1,0) * OFFSET(Table3639[[#This Row],[الرصيد]],-1,0))  + (Table3639[[#This Row],[الكميه]]*Table3639[[#This Row],[السعر]])     )  /  Table3639[[#This Row],[الرصيد]]   ) )</f>
        <v>250.46025104602509</v>
      </c>
    </row>
  </sheetData>
  <dataValidations count="1">
    <dataValidation type="list" showInputMessage="1" showErrorMessage="1" sqref="B2:B6" xr:uid="{A318A1FC-ACE7-44A8-9CED-85DF0F7E75E9}">
      <formula1>loat_number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E6BA-9CE0-4A4B-A43A-2122A2FC3199}">
  <dimension ref="A1:F6"/>
  <sheetViews>
    <sheetView rightToLeft="1" zoomScale="174" workbookViewId="0">
      <selection activeCell="G4" sqref="G4"/>
    </sheetView>
  </sheetViews>
  <sheetFormatPr defaultRowHeight="14.25" x14ac:dyDescent="0.2"/>
  <cols>
    <col min="6" max="6" width="11.875" bestFit="1" customWidth="1"/>
  </cols>
  <sheetData>
    <row r="1" spans="1:6" x14ac:dyDescent="0.2">
      <c r="A1" t="s">
        <v>2</v>
      </c>
      <c r="B1" t="s">
        <v>35</v>
      </c>
      <c r="C1" t="s">
        <v>92</v>
      </c>
      <c r="D1" t="s">
        <v>10</v>
      </c>
      <c r="E1" t="s">
        <v>46</v>
      </c>
      <c r="F1" t="s">
        <v>95</v>
      </c>
    </row>
    <row r="2" spans="1:6" x14ac:dyDescent="0.2">
      <c r="A2" t="s">
        <v>23</v>
      </c>
      <c r="C2">
        <v>5000</v>
      </c>
      <c r="D2">
        <v>25</v>
      </c>
      <c r="E2">
        <f ca="1">IF(ISNUMBER(OFFSET(Table363940[[#This Row],[الرصيد]],-1,0)),  IF(Table363940[[#This Row],[اللوط]],OFFSET(Table363940[[#This Row],[الرصيد]],-1,0) - Table363940[[#This Row],[الكميه]], OFFSET(Table363940[[#This Row],[الرصيد]],-1,0)+Table363940[[#This Row],[الكميه]]),Table363940[[#This Row],[الكميه]])</f>
        <v>5000</v>
      </c>
      <c r="F2">
        <f ca="1">IF( NOT( ISNUMBER(OFFSET(Table363940[[#This Row],[متوسط السعر]],-1,0))),Table363940[[#This Row],[السعر]],  IF(Table363940[[#This Row],[اللوط]],OFFSET(Table363940[[#This Row],[متوسط السعر]],-1,0),       (   (OFFSET(Table363940[[#This Row],[متوسط السعر]],-1,0) * OFFSET(Table363940[[#This Row],[الرصيد]],-1,0))  + (Table363940[[#This Row],[الكميه]]*Table363940[[#This Row],[السعر]])     )  /  Table363940[[#This Row],[الرصيد]]   ) )</f>
        <v>25</v>
      </c>
    </row>
    <row r="3" spans="1:6" x14ac:dyDescent="0.2">
      <c r="A3" t="str">
        <f>IF(Table363940[[#This Row],[اللوط]],  VLOOKUP(Table363940[[#This Row],[اللوط]],الصادر[[رقم اللوط]:[التاريخ]],2,FALSE), "")</f>
        <v>20/5/2023</v>
      </c>
      <c r="B3">
        <v>252</v>
      </c>
      <c r="C3">
        <f>IF(Table363940[[#This Row],[اللوط]],VLOOKUP(Table363940[[#This Row],[اللوط]],الصادر[[رقم اللوط]:[عدد الشكاير]],9,FALSE),"")</f>
        <v>33</v>
      </c>
      <c r="E3">
        <f ca="1">IF(ISNUMBER(OFFSET(Table363940[[#This Row],[الرصيد]],-1,0)),  IF(Table363940[[#This Row],[اللوط]],OFFSET(Table363940[[#This Row],[الرصيد]],-1,0) - Table363940[[#This Row],[الكميه]], OFFSET(Table363940[[#This Row],[الرصيد]],-1,0)+Table363940[[#This Row],[الكميه]]),Table363940[[#This Row],[الكميه]])</f>
        <v>4967</v>
      </c>
      <c r="F3">
        <f ca="1">IF( NOT( ISNUMBER(OFFSET(Table363940[[#This Row],[متوسط السعر]],-1,0))),Table363940[[#This Row],[السعر]],  IF(Table363940[[#This Row],[اللوط]],OFFSET(Table363940[[#This Row],[متوسط السعر]],-1,0),       (   (OFFSET(Table363940[[#This Row],[متوسط السعر]],-1,0) * OFFSET(Table363940[[#This Row],[الرصيد]],-1,0))  + (Table363940[[#This Row],[الكميه]]*Table363940[[#This Row],[السعر]])     )  /  Table363940[[#This Row],[الرصيد]]   ) )</f>
        <v>25</v>
      </c>
    </row>
    <row r="4" spans="1:6" x14ac:dyDescent="0.2">
      <c r="A4" t="s">
        <v>39</v>
      </c>
      <c r="C4">
        <v>4000</v>
      </c>
      <c r="D4">
        <v>26</v>
      </c>
      <c r="E4" s="2">
        <f ca="1">IF(ISNUMBER(OFFSET(Table363940[[#This Row],[الرصيد]],-1,0)),  IF(Table363940[[#This Row],[اللوط]],OFFSET(Table363940[[#This Row],[الرصيد]],-1,0) - Table363940[[#This Row],[الكميه]], OFFSET(Table363940[[#This Row],[الرصيد]],-1,0)+Table363940[[#This Row],[الكميه]]),Table363940[[#This Row],[الكميه]])</f>
        <v>8967</v>
      </c>
      <c r="F4" s="2">
        <f ca="1">IF( NOT( ISNUMBER(OFFSET(Table363940[[#This Row],[متوسط السعر]],-1,0))),Table363940[[#This Row],[السعر]],  IF(Table363940[[#This Row],[اللوط]],OFFSET(Table363940[[#This Row],[متوسط السعر]],-1,0),       (   (OFFSET(Table363940[[#This Row],[متوسط السعر]],-1,0) * OFFSET(Table363940[[#This Row],[الرصيد]],-1,0))  + (Table363940[[#This Row],[الكميه]]*Table363940[[#This Row],[السعر]])     )  /  Table363940[[#This Row],[الرصيد]]   ) )</f>
        <v>25.446080071372812</v>
      </c>
    </row>
    <row r="5" spans="1:6" x14ac:dyDescent="0.2">
      <c r="A5" t="s">
        <v>93</v>
      </c>
      <c r="C5">
        <v>1000</v>
      </c>
      <c r="D5">
        <v>30</v>
      </c>
      <c r="E5" s="2">
        <f ca="1">IF(ISNUMBER(OFFSET(Table363940[[#This Row],[الرصيد]],-1,0)),  IF(Table363940[[#This Row],[اللوط]],OFFSET(Table363940[[#This Row],[الرصيد]],-1,0) - Table363940[[#This Row],[الكميه]], OFFSET(Table363940[[#This Row],[الرصيد]],-1,0)+Table363940[[#This Row],[الكميه]]),Table363940[[#This Row],[الكميه]])</f>
        <v>9967</v>
      </c>
      <c r="F5" s="2">
        <f ca="1">IF( NOT( ISNUMBER(OFFSET(Table363940[[#This Row],[متوسط السعر]],-1,0))),Table363940[[#This Row],[السعر]],  IF(Table363940[[#This Row],[اللوط]],OFFSET(Table363940[[#This Row],[متوسط السعر]],-1,0),       (   (OFFSET(Table363940[[#This Row],[متوسط السعر]],-1,0) * OFFSET(Table363940[[#This Row],[الرصيد]],-1,0))  + (Table363940[[#This Row],[الكميه]]*Table363940[[#This Row],[السعر]])     )  /  Table363940[[#This Row],[الرصيد]]   ) )</f>
        <v>25.902979833450388</v>
      </c>
    </row>
    <row r="6" spans="1:6" x14ac:dyDescent="0.2">
      <c r="A6" t="s">
        <v>94</v>
      </c>
      <c r="B6">
        <v>253</v>
      </c>
      <c r="C6">
        <f>IF(Table363940[[#This Row],[اللوط]],VLOOKUP(Table363940[[#This Row],[اللوط]],الصادر[[رقم اللوط]:[عدد الشكاير]],11,FALSE),"")</f>
        <v>2268</v>
      </c>
      <c r="E6" s="2">
        <f ca="1">IF(ISNUMBER(OFFSET(Table363940[[#This Row],[الرصيد]],-1,0)),  IF(Table363940[[#This Row],[اللوط]],OFFSET(Table363940[[#This Row],[الرصيد]],-1,0) - Table363940[[#This Row],[الكميه]], OFFSET(Table363940[[#This Row],[الرصيد]],-1,0)+Table363940[[#This Row],[الكميه]]),Table363940[[#This Row],[الكميه]])</f>
        <v>7699</v>
      </c>
      <c r="F6" s="2">
        <f ca="1">IF( NOT( ISNUMBER(OFFSET(Table363940[[#This Row],[متوسط السعر]],-1,0))),Table363940[[#This Row],[السعر]],  IF(Table363940[[#This Row],[اللوط]],OFFSET(Table363940[[#This Row],[متوسط السعر]],-1,0),       (   (OFFSET(Table363940[[#This Row],[متوسط السعر]],-1,0) * OFFSET(Table363940[[#This Row],[الرصيد]],-1,0))  + (Table363940[[#This Row],[الكميه]]*Table363940[[#This Row],[السعر]])     )  /  Table363940[[#This Row],[الرصيد]]   ) )</f>
        <v>25.902979833450388</v>
      </c>
    </row>
  </sheetData>
  <dataValidations count="1">
    <dataValidation type="list" showInputMessage="1" showErrorMessage="1" sqref="B2:B6" xr:uid="{D2CDF552-DEA3-41DF-B5D2-14A1D60AA0E2}">
      <formula1>loat_number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9F88-A1F9-4525-B38D-BF571C60DDAA}">
  <sheetPr codeName="Sheet5"/>
  <dimension ref="A1:P12"/>
  <sheetViews>
    <sheetView rightToLeft="1" zoomScale="164" workbookViewId="0">
      <selection sqref="A1:C4"/>
    </sheetView>
  </sheetViews>
  <sheetFormatPr defaultRowHeight="14.25" x14ac:dyDescent="0.2"/>
  <cols>
    <col min="1" max="1" width="9.625" bestFit="1" customWidth="1"/>
    <col min="15" max="15" width="11.5" customWidth="1"/>
    <col min="16" max="16" width="16.625" customWidth="1"/>
    <col min="17" max="17" width="19.125" customWidth="1"/>
  </cols>
  <sheetData>
    <row r="1" spans="1:16" x14ac:dyDescent="0.2">
      <c r="A1" s="32" t="s">
        <v>15</v>
      </c>
      <c r="B1" s="32"/>
      <c r="C1" s="32"/>
      <c r="E1" s="33" t="s">
        <v>71</v>
      </c>
      <c r="F1" s="33"/>
      <c r="H1" s="33" t="s">
        <v>74</v>
      </c>
      <c r="I1" s="33"/>
      <c r="K1" s="34" t="s">
        <v>46</v>
      </c>
      <c r="L1" s="34"/>
      <c r="O1" t="s">
        <v>98</v>
      </c>
      <c r="P1" t="s">
        <v>97</v>
      </c>
    </row>
    <row r="2" spans="1:16" x14ac:dyDescent="0.2">
      <c r="A2" s="32"/>
      <c r="B2" s="32"/>
      <c r="C2" s="32"/>
      <c r="E2" s="33"/>
      <c r="F2" s="33"/>
      <c r="H2" s="33"/>
      <c r="I2" s="33"/>
      <c r="K2" s="34"/>
      <c r="L2" s="34"/>
      <c r="O2" t="s">
        <v>15</v>
      </c>
      <c r="P2">
        <v>102563987</v>
      </c>
    </row>
    <row r="3" spans="1:16" x14ac:dyDescent="0.2">
      <c r="A3" s="32"/>
      <c r="B3" s="32"/>
      <c r="C3" s="32"/>
      <c r="E3" s="35">
        <f>'حسن الالفي'!C17</f>
        <v>674483</v>
      </c>
      <c r="F3" s="35"/>
      <c r="H3" s="35" t="e">
        <f>'حسن الالفي'!#REF!</f>
        <v>#REF!</v>
      </c>
      <c r="I3" s="35"/>
      <c r="K3" s="35" t="e">
        <f>'حسن الالفي'!#REF!</f>
        <v>#REF!</v>
      </c>
      <c r="L3" s="35"/>
      <c r="O3" t="s">
        <v>16</v>
      </c>
      <c r="P3">
        <v>112563987</v>
      </c>
    </row>
    <row r="4" spans="1:16" x14ac:dyDescent="0.2">
      <c r="A4" s="32"/>
      <c r="B4" s="32"/>
      <c r="C4" s="32"/>
      <c r="E4" s="35"/>
      <c r="F4" s="35"/>
      <c r="H4" s="35"/>
      <c r="I4" s="35"/>
      <c r="K4" s="35"/>
      <c r="L4" s="35"/>
    </row>
    <row r="7" spans="1:16" x14ac:dyDescent="0.2">
      <c r="A7" s="32" t="s">
        <v>16</v>
      </c>
      <c r="B7" s="32"/>
      <c r="C7" s="32"/>
      <c r="E7" s="33" t="s">
        <v>71</v>
      </c>
      <c r="F7" s="33"/>
      <c r="H7" s="33" t="s">
        <v>74</v>
      </c>
      <c r="I7" s="33"/>
      <c r="K7" s="34" t="s">
        <v>46</v>
      </c>
      <c r="L7" s="34"/>
    </row>
    <row r="8" spans="1:16" x14ac:dyDescent="0.2">
      <c r="A8" s="32"/>
      <c r="B8" s="32"/>
      <c r="C8" s="32"/>
      <c r="E8" s="33"/>
      <c r="F8" s="33"/>
      <c r="H8" s="33"/>
      <c r="I8" s="33"/>
      <c r="K8" s="34"/>
      <c r="L8" s="34"/>
    </row>
    <row r="9" spans="1:16" x14ac:dyDescent="0.2">
      <c r="A9" s="32"/>
      <c r="B9" s="32"/>
      <c r="C9" s="32"/>
      <c r="E9" s="35">
        <f>'عماد الخرادلي'!J11</f>
        <v>369218.57500000001</v>
      </c>
      <c r="F9" s="35"/>
      <c r="H9" s="35">
        <f>'عماد الخرادلي'!M9</f>
        <v>250000</v>
      </c>
      <c r="I9" s="35"/>
      <c r="K9" s="35">
        <f>'عماد الخرادلي'!M10</f>
        <v>119218.57500000001</v>
      </c>
      <c r="L9" s="35"/>
    </row>
    <row r="10" spans="1:16" x14ac:dyDescent="0.2">
      <c r="A10" s="32"/>
      <c r="B10" s="32"/>
      <c r="C10" s="32"/>
      <c r="E10" s="35"/>
      <c r="F10" s="35"/>
      <c r="H10" s="35"/>
      <c r="I10" s="35"/>
      <c r="K10" s="35"/>
      <c r="L10" s="35"/>
    </row>
    <row r="12" spans="1:16" s="19" customFormat="1" ht="15" x14ac:dyDescent="0.25"/>
  </sheetData>
  <mergeCells count="14">
    <mergeCell ref="A7:C10"/>
    <mergeCell ref="E1:F2"/>
    <mergeCell ref="H1:I2"/>
    <mergeCell ref="K1:L2"/>
    <mergeCell ref="E3:F4"/>
    <mergeCell ref="H3:I4"/>
    <mergeCell ref="K3:L4"/>
    <mergeCell ref="A1:C4"/>
    <mergeCell ref="E7:F8"/>
    <mergeCell ref="H7:I8"/>
    <mergeCell ref="K7:L8"/>
    <mergeCell ref="E9:F10"/>
    <mergeCell ref="H9:I10"/>
    <mergeCell ref="K9:L10"/>
  </mergeCells>
  <hyperlinks>
    <hyperlink ref="A1" location="'حسن الالفي'!A1" display="حسن الالفي" xr:uid="{1D02F1A3-DCA7-4FDE-821F-7D17D34CB921}"/>
    <hyperlink ref="A7:C10" location="'عماد الخرادلي'!A1" display="عماد الخرادلي" xr:uid="{503B6F82-F205-496B-8FB0-918C2F6CFA1E}"/>
    <hyperlink ref="A7" location="'حسن الالفي'!A1" display="حسن الالفي" xr:uid="{71789768-E80F-4FF0-93AB-69F2B056F964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A7577-6050-42C0-88CE-135A0FB05E4C}">
  <sheetPr codeName="Sheet2"/>
  <dimension ref="A1:J18"/>
  <sheetViews>
    <sheetView rightToLeft="1" zoomScale="153" workbookViewId="0">
      <selection activeCell="D12" sqref="D12"/>
    </sheetView>
  </sheetViews>
  <sheetFormatPr defaultRowHeight="14.25" x14ac:dyDescent="0.2"/>
  <cols>
    <col min="1" max="1" width="8.875" style="17" bestFit="1" customWidth="1"/>
    <col min="2" max="2" width="10.875" style="17" bestFit="1" customWidth="1"/>
    <col min="3" max="3" width="8.5" style="17" bestFit="1" customWidth="1"/>
    <col min="4" max="4" width="7.875" style="17" bestFit="1" customWidth="1"/>
    <col min="5" max="5" width="9.875" style="17" customWidth="1"/>
    <col min="6" max="6" width="9" style="17" bestFit="1" customWidth="1"/>
    <col min="7" max="7" width="8.75" style="17" bestFit="1" customWidth="1"/>
    <col min="8" max="8" width="7.875" style="17" bestFit="1" customWidth="1"/>
    <col min="9" max="9" width="7.125" style="17" customWidth="1"/>
    <col min="10" max="10" width="9.875" style="17" bestFit="1" customWidth="1"/>
    <col min="11" max="12" width="9" style="17"/>
    <col min="13" max="13" width="15.25" style="17" customWidth="1"/>
    <col min="14" max="16384" width="9" style="17"/>
  </cols>
  <sheetData>
    <row r="1" spans="1:10" x14ac:dyDescent="0.2">
      <c r="A1" s="42" t="s">
        <v>69</v>
      </c>
      <c r="B1" s="43"/>
      <c r="C1" s="43"/>
      <c r="D1" s="44"/>
      <c r="F1" s="42" t="s">
        <v>70</v>
      </c>
      <c r="G1" s="43"/>
      <c r="H1" s="43"/>
      <c r="I1" s="43"/>
      <c r="J1" s="44"/>
    </row>
    <row r="2" spans="1:10" x14ac:dyDescent="0.2">
      <c r="A2" s="45"/>
      <c r="B2" s="46"/>
      <c r="C2" s="46"/>
      <c r="D2" s="47"/>
      <c r="F2" s="45"/>
      <c r="G2" s="46"/>
      <c r="H2" s="46"/>
      <c r="I2" s="46"/>
      <c r="J2" s="47"/>
    </row>
    <row r="3" spans="1:10" x14ac:dyDescent="0.2">
      <c r="A3" s="18"/>
      <c r="B3" s="18"/>
      <c r="D3" s="18"/>
      <c r="E3" s="18"/>
    </row>
    <row r="4" spans="1:10" ht="34.5" x14ac:dyDescent="0.45">
      <c r="A4" s="50" t="s">
        <v>101</v>
      </c>
      <c r="B4" s="50"/>
      <c r="C4" s="50"/>
      <c r="D4" s="50"/>
      <c r="E4" s="50"/>
      <c r="F4" s="50"/>
      <c r="G4" s="50"/>
      <c r="H4" s="50"/>
      <c r="I4" s="50"/>
      <c r="J4" s="50"/>
    </row>
    <row r="5" spans="1:10" x14ac:dyDescent="0.2">
      <c r="A5" t="s">
        <v>2</v>
      </c>
      <c r="B5" t="s">
        <v>17</v>
      </c>
      <c r="C5" t="s">
        <v>8</v>
      </c>
      <c r="D5" t="s">
        <v>9</v>
      </c>
      <c r="E5" t="s">
        <v>18</v>
      </c>
      <c r="F5" t="s">
        <v>19</v>
      </c>
      <c r="G5" t="s">
        <v>7</v>
      </c>
      <c r="H5" t="s">
        <v>20</v>
      </c>
      <c r="I5" t="s">
        <v>10</v>
      </c>
      <c r="J5" t="s">
        <v>13</v>
      </c>
    </row>
    <row r="6" spans="1:10" x14ac:dyDescent="0.2">
      <c r="A6" t="s">
        <v>23</v>
      </c>
      <c r="B6" t="s">
        <v>3</v>
      </c>
      <c r="C6">
        <v>12.35</v>
      </c>
      <c r="D6">
        <v>5</v>
      </c>
      <c r="E6">
        <f>Table3[[#This Row],[الوزن قائم]]-Table3[[#This Row],[الوزن فارغ]]</f>
        <v>7.35</v>
      </c>
      <c r="F6">
        <f>Table3[[#This Row],[وزن الخام]]*0.025</f>
        <v>0.18375</v>
      </c>
      <c r="G6">
        <v>0.12</v>
      </c>
      <c r="H6">
        <f>Table3[[#This Row],[وزن الخام]]- Table3[[#This Row],[خصم 0.025]] -Table3[[#This Row],[خصم اضافي]]</f>
        <v>7.0462499999999997</v>
      </c>
      <c r="I6">
        <v>10100</v>
      </c>
      <c r="J6">
        <f>Table3[[#This Row],[الصافي]]*Table3[[#This Row],[السعر]]</f>
        <v>71167.125</v>
      </c>
    </row>
    <row r="7" spans="1:10" x14ac:dyDescent="0.2">
      <c r="A7" t="s">
        <v>23</v>
      </c>
      <c r="B7" t="s">
        <v>3</v>
      </c>
      <c r="C7">
        <v>13</v>
      </c>
      <c r="D7">
        <v>5</v>
      </c>
      <c r="E7">
        <f>Table3[[#This Row],[الوزن قائم]]-Table3[[#This Row],[الوزن فارغ]]</f>
        <v>8</v>
      </c>
      <c r="F7">
        <f>Table3[[#This Row],[وزن الخام]]*0.025</f>
        <v>0.2</v>
      </c>
      <c r="G7">
        <v>2</v>
      </c>
      <c r="H7">
        <f>Table3[[#This Row],[وزن الخام]]- Table3[[#This Row],[خصم 0.025]] -Table3[[#This Row],[خصم اضافي]]</f>
        <v>5.8</v>
      </c>
      <c r="I7">
        <v>10100</v>
      </c>
      <c r="J7">
        <f>Table3[[#This Row],[الصافي]]*Table3[[#This Row],[السعر]]</f>
        <v>58580</v>
      </c>
    </row>
    <row r="8" spans="1:10" x14ac:dyDescent="0.2">
      <c r="A8" t="s">
        <v>23</v>
      </c>
      <c r="B8" t="s">
        <v>3</v>
      </c>
      <c r="C8">
        <v>14</v>
      </c>
      <c r="D8">
        <v>6</v>
      </c>
      <c r="E8">
        <f>Table3[[#This Row],[الوزن قائم]]-Table3[[#This Row],[الوزن فارغ]]</f>
        <v>8</v>
      </c>
      <c r="F8">
        <f>Table3[[#This Row],[وزن الخام]]*0.025</f>
        <v>0.2</v>
      </c>
      <c r="G8">
        <v>0</v>
      </c>
      <c r="H8">
        <f>Table3[[#This Row],[وزن الخام]]- Table3[[#This Row],[خصم 0.025]] -Table3[[#This Row],[خصم اضافي]]</f>
        <v>7.8</v>
      </c>
      <c r="I8">
        <v>10100</v>
      </c>
      <c r="J8">
        <f>Table3[[#This Row],[الصافي]]*Table3[[#This Row],[السعر]]</f>
        <v>78780</v>
      </c>
    </row>
    <row r="9" spans="1:10" x14ac:dyDescent="0.2">
      <c r="A9" t="s">
        <v>23</v>
      </c>
      <c r="B9" t="s">
        <v>4</v>
      </c>
      <c r="C9">
        <v>15.25</v>
      </c>
      <c r="D9">
        <v>6.6</v>
      </c>
      <c r="E9">
        <f>Table3[[#This Row],[الوزن قائم]]-Table3[[#This Row],[الوزن فارغ]]</f>
        <v>8.65</v>
      </c>
      <c r="F9">
        <f>Table3[[#This Row],[وزن الخام]]*0.025</f>
        <v>0.21625000000000003</v>
      </c>
      <c r="G9">
        <v>0</v>
      </c>
      <c r="H9">
        <f>Table3[[#This Row],[وزن الخام]]- Table3[[#This Row],[خصم 0.025]] -Table3[[#This Row],[خصم اضافي]]</f>
        <v>8.4337499999999999</v>
      </c>
      <c r="I9">
        <v>10100</v>
      </c>
      <c r="J9">
        <f>Table3[[#This Row],[الصافي]]*Table3[[#This Row],[السعر]]</f>
        <v>85180.875</v>
      </c>
    </row>
    <row r="10" spans="1:10" x14ac:dyDescent="0.2">
      <c r="A10" t="s">
        <v>23</v>
      </c>
      <c r="B10" t="s">
        <v>4</v>
      </c>
      <c r="C10">
        <v>12.5</v>
      </c>
      <c r="D10">
        <v>6.7</v>
      </c>
      <c r="E10">
        <f>Table3[[#This Row],[الوزن قائم]]-Table3[[#This Row],[الوزن فارغ]]</f>
        <v>5.8</v>
      </c>
      <c r="F10">
        <f>Table3[[#This Row],[وزن الخام]]*0.025</f>
        <v>0.14499999999999999</v>
      </c>
      <c r="G10">
        <v>0.06</v>
      </c>
      <c r="H10">
        <f>Table3[[#This Row],[وزن الخام]]- Table3[[#This Row],[خصم 0.025]] -Table3[[#This Row],[خصم اضافي]]</f>
        <v>5.5950000000000006</v>
      </c>
      <c r="I10">
        <v>10200</v>
      </c>
      <c r="J10">
        <f>Table3[[#This Row],[الصافي]]*Table3[[#This Row],[السعر]]</f>
        <v>57069.000000000007</v>
      </c>
    </row>
    <row r="11" spans="1:10" x14ac:dyDescent="0.2">
      <c r="A11" t="s">
        <v>44</v>
      </c>
      <c r="B11" t="s">
        <v>3</v>
      </c>
      <c r="C11">
        <v>12.6</v>
      </c>
      <c r="D11">
        <v>9</v>
      </c>
      <c r="E11">
        <f>Table3[[#This Row],[الوزن قائم]]-Table3[[#This Row],[الوزن فارغ]]</f>
        <v>3.5999999999999996</v>
      </c>
      <c r="F11">
        <f>Table3[[#This Row],[وزن الخام]]*0.025</f>
        <v>0.09</v>
      </c>
      <c r="G11">
        <v>0</v>
      </c>
      <c r="H11">
        <f>Table3[[#This Row],[وزن الخام]]- Table3[[#This Row],[خصم 0.025]] -Table3[[#This Row],[خصم اضافي]]</f>
        <v>3.51</v>
      </c>
      <c r="I11">
        <v>10500</v>
      </c>
      <c r="J11">
        <f>Table3[[#This Row],[الصافي]]*Table3[[#This Row],[السعر]]</f>
        <v>36855</v>
      </c>
    </row>
    <row r="12" spans="1:10" x14ac:dyDescent="0.2">
      <c r="A12" t="s">
        <v>72</v>
      </c>
      <c r="B12" t="s">
        <v>73</v>
      </c>
      <c r="C12">
        <v>12.9</v>
      </c>
      <c r="D12">
        <v>6.7</v>
      </c>
      <c r="E12">
        <f>Table3[[#This Row],[الوزن قائم]]-Table3[[#This Row],[الوزن فارغ]]</f>
        <v>6.2</v>
      </c>
      <c r="F12">
        <f>Table3[[#This Row],[وزن الخام]]*0.025</f>
        <v>0.15500000000000003</v>
      </c>
      <c r="G12">
        <v>0.6</v>
      </c>
      <c r="H12">
        <f>Table3[[#This Row],[وزن الخام]]- Table3[[#This Row],[خصم 0.025]] -Table3[[#This Row],[خصم اضافي]]</f>
        <v>5.4450000000000003</v>
      </c>
      <c r="I12">
        <v>10300</v>
      </c>
      <c r="J12">
        <f>Table3[[#This Row],[الصافي]]*Table3[[#This Row],[السعر]]</f>
        <v>56083.5</v>
      </c>
    </row>
    <row r="13" spans="1:10" x14ac:dyDescent="0.2">
      <c r="A13" t="s">
        <v>47</v>
      </c>
      <c r="B13" t="s">
        <v>3</v>
      </c>
      <c r="C13">
        <v>13</v>
      </c>
      <c r="D13">
        <v>6.5</v>
      </c>
      <c r="E13">
        <f>Table3[[#This Row],[الوزن قائم]]-Table3[[#This Row],[الوزن فارغ]]</f>
        <v>6.5</v>
      </c>
      <c r="F13">
        <f>Table3[[#This Row],[وزن الخام]]*0.025</f>
        <v>0.16250000000000001</v>
      </c>
      <c r="G13">
        <v>0</v>
      </c>
      <c r="H13">
        <f>Table3[[#This Row],[وزن الخام]]- Table3[[#This Row],[خصم 0.025]] -Table3[[#This Row],[خصم اضافي]]</f>
        <v>6.3375000000000004</v>
      </c>
      <c r="I13">
        <v>10600</v>
      </c>
      <c r="J13">
        <f>Table3[[#This Row],[الصافي]]*Table3[[#This Row],[السعر]]</f>
        <v>67177.5</v>
      </c>
    </row>
    <row r="14" spans="1:10" x14ac:dyDescent="0.2">
      <c r="A14" s="29" t="s">
        <v>49</v>
      </c>
      <c r="B14" s="29" t="s">
        <v>3</v>
      </c>
      <c r="C14">
        <v>14</v>
      </c>
      <c r="D14">
        <v>7</v>
      </c>
      <c r="E14">
        <f>Table3[[#This Row],[الوزن قائم]]-Table3[[#This Row],[الوزن فارغ]]</f>
        <v>7</v>
      </c>
      <c r="F14">
        <f>Table3[[#This Row],[وزن الخام]]*0.025</f>
        <v>0.17500000000000002</v>
      </c>
      <c r="G14">
        <v>0.02</v>
      </c>
      <c r="H14">
        <f>Table3[[#This Row],[وزن الخام]]- Table3[[#This Row],[خصم 0.025]] -Table3[[#This Row],[خصم اضافي]]</f>
        <v>6.8050000000000006</v>
      </c>
      <c r="I14">
        <v>10500</v>
      </c>
      <c r="J14">
        <f>Table3[[#This Row],[الصافي]]*Table3[[#This Row],[السعر]]</f>
        <v>71452.5</v>
      </c>
    </row>
    <row r="15" spans="1:10" x14ac:dyDescent="0.2">
      <c r="A15" s="29" t="s">
        <v>49</v>
      </c>
      <c r="B15" s="29" t="s">
        <v>3</v>
      </c>
      <c r="C15">
        <v>16</v>
      </c>
      <c r="D15">
        <v>7</v>
      </c>
      <c r="E15">
        <f>Table3[[#This Row],[الوزن قائم]]-Table3[[#This Row],[الوزن فارغ]]</f>
        <v>9</v>
      </c>
      <c r="F15">
        <f>Table3[[#This Row],[وزن الخام]]*0.025</f>
        <v>0.22500000000000001</v>
      </c>
      <c r="G15">
        <v>0</v>
      </c>
      <c r="H15">
        <f>Table3[[#This Row],[وزن الخام]]- Table3[[#This Row],[خصم 0.025]] -Table3[[#This Row],[خصم اضافي]]</f>
        <v>8.7750000000000004</v>
      </c>
      <c r="I15">
        <v>10500</v>
      </c>
      <c r="J15">
        <f>Table3[[#This Row],[الصافي]]*Table3[[#This Row],[السعر]]</f>
        <v>92137.5</v>
      </c>
    </row>
    <row r="16" spans="1:10" x14ac:dyDescent="0.2">
      <c r="A16" s="38" t="s">
        <v>99</v>
      </c>
      <c r="B16" s="39"/>
      <c r="C16" s="48" t="s">
        <v>13</v>
      </c>
      <c r="D16" s="49"/>
      <c r="E16" s="48" t="s">
        <v>46</v>
      </c>
      <c r="F16" s="49"/>
      <c r="G16" s="48" t="s">
        <v>18</v>
      </c>
      <c r="H16" s="49"/>
      <c r="I16" s="38" t="s">
        <v>100</v>
      </c>
      <c r="J16" s="39"/>
    </row>
    <row r="17" spans="1:10" x14ac:dyDescent="0.2">
      <c r="A17" s="40">
        <f>SUMIFS(Table40[المبلغ],Table40[المورد],الموردين!O2)</f>
        <v>620000</v>
      </c>
      <c r="B17" s="41"/>
      <c r="C17" s="36">
        <f>SUM(Table3[الاجمالي])</f>
        <v>674483</v>
      </c>
      <c r="D17" s="37"/>
      <c r="E17" s="36">
        <f>C17-A17</f>
        <v>54483</v>
      </c>
      <c r="F17" s="37"/>
      <c r="G17" s="36">
        <f>SUM(Table3[وزن الخام])</f>
        <v>70.099999999999994</v>
      </c>
      <c r="H17" s="37"/>
      <c r="I17" s="40">
        <f>SUM(Table3[الصافي])</f>
        <v>65.547499999999999</v>
      </c>
      <c r="J17" s="41"/>
    </row>
    <row r="18" spans="1:10" x14ac:dyDescent="0.2">
      <c r="C18"/>
      <c r="D18"/>
      <c r="E18"/>
      <c r="F18"/>
      <c r="G18"/>
      <c r="H18"/>
    </row>
  </sheetData>
  <dataConsolidate/>
  <mergeCells count="13">
    <mergeCell ref="G17:H17"/>
    <mergeCell ref="I16:J16"/>
    <mergeCell ref="I17:J17"/>
    <mergeCell ref="F1:J2"/>
    <mergeCell ref="A1:D2"/>
    <mergeCell ref="A17:B17"/>
    <mergeCell ref="C16:D16"/>
    <mergeCell ref="C17:D17"/>
    <mergeCell ref="E16:F16"/>
    <mergeCell ref="E17:F17"/>
    <mergeCell ref="A4:J4"/>
    <mergeCell ref="A16:B16"/>
    <mergeCell ref="G16:H16"/>
  </mergeCells>
  <hyperlinks>
    <hyperlink ref="A1:B2" location="'الصفحه الرئيسيه'!A1" display="الرئيسيه" xr:uid="{5A8317E1-8868-4206-A724-4A2B2F03056A}"/>
    <hyperlink ref="F1:G2" location="الموردين!A1" display="قائمة الموردين" xr:uid="{99774A2C-2054-47F0-BF56-47D1180F1412}"/>
  </hyperlink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16AF-AFC7-418A-8000-83037D71FD55}">
  <dimension ref="A1:C4"/>
  <sheetViews>
    <sheetView rightToLeft="1" zoomScale="161" workbookViewId="0">
      <selection activeCell="A4" sqref="A4"/>
    </sheetView>
  </sheetViews>
  <sheetFormatPr defaultRowHeight="14.25" x14ac:dyDescent="0.2"/>
  <sheetData>
    <row r="1" spans="1:3" x14ac:dyDescent="0.2">
      <c r="A1" t="s">
        <v>2</v>
      </c>
      <c r="B1" t="s">
        <v>91</v>
      </c>
      <c r="C1" t="s">
        <v>21</v>
      </c>
    </row>
    <row r="2" spans="1:3" x14ac:dyDescent="0.2">
      <c r="A2" t="s">
        <v>47</v>
      </c>
      <c r="B2" t="s">
        <v>15</v>
      </c>
      <c r="C2">
        <v>120000</v>
      </c>
    </row>
    <row r="3" spans="1:3" x14ac:dyDescent="0.2">
      <c r="A3" t="s">
        <v>49</v>
      </c>
      <c r="B3" t="s">
        <v>15</v>
      </c>
      <c r="C3">
        <v>100000</v>
      </c>
    </row>
    <row r="4" spans="1:3" x14ac:dyDescent="0.2">
      <c r="A4" t="s">
        <v>51</v>
      </c>
      <c r="B4" t="s">
        <v>15</v>
      </c>
      <c r="C4">
        <v>400000</v>
      </c>
    </row>
  </sheetData>
  <dataValidations count="1">
    <dataValidation type="list" allowBlank="1" showInputMessage="1" showErrorMessage="1" sqref="B2:B4" xr:uid="{F48FA269-C834-4794-91CF-C59D71CEFFEF}">
      <formula1>supplier_name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067B-271F-4562-BCFD-0D43EBBDF34B}">
  <sheetPr codeName="Sheet3"/>
  <dimension ref="A1:M11"/>
  <sheetViews>
    <sheetView rightToLeft="1" zoomScale="146" zoomScaleNormal="100" workbookViewId="0">
      <selection activeCell="L9" sqref="L9"/>
    </sheetView>
  </sheetViews>
  <sheetFormatPr defaultRowHeight="14.25" x14ac:dyDescent="0.2"/>
  <cols>
    <col min="2" max="2" width="12.5" customWidth="1"/>
    <col min="6" max="6" width="10" customWidth="1"/>
    <col min="7" max="7" width="9.125" customWidth="1"/>
    <col min="13" max="13" width="14.125" customWidth="1"/>
  </cols>
  <sheetData>
    <row r="1" spans="1:13" x14ac:dyDescent="0.2">
      <c r="A1" s="51" t="s">
        <v>69</v>
      </c>
      <c r="B1" s="51"/>
      <c r="D1" s="51" t="s">
        <v>70</v>
      </c>
      <c r="E1" s="51"/>
    </row>
    <row r="2" spans="1:13" x14ac:dyDescent="0.2">
      <c r="A2" s="51"/>
      <c r="B2" s="51"/>
      <c r="D2" s="51"/>
      <c r="E2" s="51"/>
    </row>
    <row r="4" spans="1:13" s="17" customFormat="1" ht="27" x14ac:dyDescent="0.35">
      <c r="A4" s="52" t="s">
        <v>75</v>
      </c>
      <c r="B4" s="52"/>
      <c r="C4" s="52"/>
      <c r="D4" s="52"/>
      <c r="E4" s="52"/>
      <c r="F4" s="52"/>
      <c r="G4" s="52"/>
      <c r="H4" s="52"/>
      <c r="I4" s="52"/>
      <c r="J4" s="52"/>
      <c r="L4" s="53" t="s">
        <v>76</v>
      </c>
      <c r="M4" s="53"/>
    </row>
    <row r="5" spans="1:13" ht="15" x14ac:dyDescent="0.25">
      <c r="A5" s="20" t="s">
        <v>2</v>
      </c>
      <c r="B5" s="15" t="s">
        <v>17</v>
      </c>
      <c r="C5" s="15" t="s">
        <v>8</v>
      </c>
      <c r="D5" s="15" t="s">
        <v>9</v>
      </c>
      <c r="E5" s="15" t="s">
        <v>18</v>
      </c>
      <c r="F5" s="15" t="s">
        <v>19</v>
      </c>
      <c r="G5" s="15" t="s">
        <v>7</v>
      </c>
      <c r="H5" s="15" t="s">
        <v>20</v>
      </c>
      <c r="I5" s="15" t="s">
        <v>10</v>
      </c>
      <c r="J5" s="21" t="s">
        <v>13</v>
      </c>
      <c r="L5" s="17" t="s">
        <v>2</v>
      </c>
      <c r="M5" s="17" t="s">
        <v>21</v>
      </c>
    </row>
    <row r="6" spans="1:13" x14ac:dyDescent="0.2">
      <c r="A6" s="3" t="s">
        <v>23</v>
      </c>
      <c r="B6" s="4" t="s">
        <v>3</v>
      </c>
      <c r="C6" s="4">
        <v>12.35</v>
      </c>
      <c r="D6" s="4">
        <v>5</v>
      </c>
      <c r="E6" s="4">
        <v>7.35</v>
      </c>
      <c r="F6" s="4">
        <v>0</v>
      </c>
      <c r="G6" s="4">
        <v>0.02</v>
      </c>
      <c r="H6" s="4">
        <v>7.2029999999999994</v>
      </c>
      <c r="I6" s="4">
        <v>10100</v>
      </c>
      <c r="J6" s="5">
        <v>72750.299999999988</v>
      </c>
      <c r="L6" s="17" t="s">
        <v>72</v>
      </c>
      <c r="M6" s="17">
        <v>100000</v>
      </c>
    </row>
    <row r="7" spans="1:13" x14ac:dyDescent="0.2">
      <c r="A7" s="6" t="s">
        <v>23</v>
      </c>
      <c r="B7" s="7" t="s">
        <v>3</v>
      </c>
      <c r="C7" s="7">
        <v>13</v>
      </c>
      <c r="D7" s="7">
        <v>5</v>
      </c>
      <c r="E7" s="7">
        <v>8</v>
      </c>
      <c r="F7" s="7">
        <v>1</v>
      </c>
      <c r="G7" s="7">
        <v>0.03</v>
      </c>
      <c r="H7" s="7">
        <v>7.56</v>
      </c>
      <c r="I7" s="7">
        <v>10100</v>
      </c>
      <c r="J7" s="8">
        <v>76356</v>
      </c>
      <c r="L7" s="17" t="s">
        <v>53</v>
      </c>
      <c r="M7" s="17">
        <v>100000</v>
      </c>
    </row>
    <row r="8" spans="1:13" x14ac:dyDescent="0.2">
      <c r="A8" s="3" t="s">
        <v>23</v>
      </c>
      <c r="B8" s="4" t="s">
        <v>3</v>
      </c>
      <c r="C8" s="4">
        <v>14</v>
      </c>
      <c r="D8" s="4">
        <v>6</v>
      </c>
      <c r="E8" s="4">
        <v>8</v>
      </c>
      <c r="F8" s="4">
        <v>0</v>
      </c>
      <c r="G8" s="4">
        <v>0</v>
      </c>
      <c r="H8" s="4">
        <v>8</v>
      </c>
      <c r="I8" s="4">
        <v>10100</v>
      </c>
      <c r="J8" s="5">
        <v>80800</v>
      </c>
      <c r="L8" s="17" t="s">
        <v>77</v>
      </c>
      <c r="M8" s="17">
        <v>50000</v>
      </c>
    </row>
    <row r="9" spans="1:13" x14ac:dyDescent="0.2">
      <c r="A9" s="6" t="s">
        <v>23</v>
      </c>
      <c r="B9" s="7" t="s">
        <v>4</v>
      </c>
      <c r="C9" s="7">
        <v>15.25</v>
      </c>
      <c r="D9" s="7">
        <v>6.6</v>
      </c>
      <c r="E9" s="7">
        <v>8.65</v>
      </c>
      <c r="F9" s="7">
        <v>1</v>
      </c>
      <c r="G9" s="7">
        <v>0</v>
      </c>
      <c r="H9" s="9">
        <v>8.4337499999999999</v>
      </c>
      <c r="I9" s="7">
        <v>10100</v>
      </c>
      <c r="J9" s="8">
        <v>85180.875</v>
      </c>
      <c r="L9" s="17" t="s">
        <v>13</v>
      </c>
      <c r="M9" s="17">
        <f>SUM(Table1820[المبلغ])</f>
        <v>250000</v>
      </c>
    </row>
    <row r="10" spans="1:13" ht="15" thickBot="1" x14ac:dyDescent="0.25">
      <c r="A10" s="22" t="s">
        <v>23</v>
      </c>
      <c r="B10" s="23" t="s">
        <v>4</v>
      </c>
      <c r="C10" s="23">
        <v>12.5</v>
      </c>
      <c r="D10" s="23">
        <v>6.7</v>
      </c>
      <c r="E10" s="23">
        <v>5.8</v>
      </c>
      <c r="F10" s="23">
        <v>1</v>
      </c>
      <c r="G10" s="23">
        <v>0.06</v>
      </c>
      <c r="H10" s="24">
        <v>5.3070000000000004</v>
      </c>
      <c r="I10" s="23">
        <v>10200</v>
      </c>
      <c r="J10" s="25">
        <v>54131.4</v>
      </c>
      <c r="L10" s="17" t="s">
        <v>46</v>
      </c>
      <c r="M10" s="17">
        <f>J11-M9</f>
        <v>119218.57500000001</v>
      </c>
    </row>
    <row r="11" spans="1:13" ht="15.75" thickTop="1" x14ac:dyDescent="0.25">
      <c r="A11" s="10" t="s">
        <v>13</v>
      </c>
      <c r="B11" s="11"/>
      <c r="C11" s="11"/>
      <c r="D11" s="11"/>
      <c r="E11" s="11">
        <f>SUM(Table20[وزن الخام])</f>
        <v>37.799999999999997</v>
      </c>
      <c r="F11" s="11"/>
      <c r="G11" s="11"/>
      <c r="H11" s="12">
        <f>SUM(Table20[الصافي])</f>
        <v>36.503749999999997</v>
      </c>
      <c r="I11" s="11"/>
      <c r="J11" s="13">
        <f>SUM(Table20[الاجمالي])</f>
        <v>369218.57500000001</v>
      </c>
    </row>
  </sheetData>
  <mergeCells count="4">
    <mergeCell ref="A1:B2"/>
    <mergeCell ref="D1:E2"/>
    <mergeCell ref="A4:J4"/>
    <mergeCell ref="L4:M4"/>
  </mergeCells>
  <hyperlinks>
    <hyperlink ref="A1:B2" location="'الصفحه الرئيسيه'!A1" display="الرئيسيه" xr:uid="{1EA38534-33FA-4958-8885-D06D7D838DF0}"/>
    <hyperlink ref="D1:E2" location="الموردين!A1" display="قائمة الموردين" xr:uid="{A122F454-2DBC-4451-BFCF-B690563F6749}"/>
  </hyperlink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6EBE-DD0A-4E58-9451-525C2510C7CA}">
  <sheetPr codeName="Sheet6"/>
  <dimension ref="A1:Q8"/>
  <sheetViews>
    <sheetView rightToLeft="1" topLeftCell="C1" zoomScale="150" zoomScaleNormal="150" workbookViewId="0">
      <selection activeCell="Q2" sqref="Q2"/>
    </sheetView>
  </sheetViews>
  <sheetFormatPr defaultRowHeight="14.25" x14ac:dyDescent="0.2"/>
  <cols>
    <col min="1" max="1" width="8.875" bestFit="1" customWidth="1"/>
    <col min="2" max="2" width="7.5" bestFit="1" customWidth="1"/>
    <col min="3" max="3" width="10.75" bestFit="1" customWidth="1"/>
    <col min="4" max="4" width="6.75" bestFit="1" customWidth="1"/>
    <col min="5" max="5" width="8.25" bestFit="1" customWidth="1"/>
    <col min="6" max="6" width="8.875" bestFit="1" customWidth="1"/>
    <col min="7" max="7" width="9.75" bestFit="1" customWidth="1"/>
    <col min="8" max="8" width="10.75" bestFit="1" customWidth="1"/>
    <col min="9" max="9" width="8.875" bestFit="1" customWidth="1"/>
    <col min="10" max="11" width="11.5" customWidth="1"/>
    <col min="12" max="12" width="13.875" bestFit="1" customWidth="1"/>
    <col min="13" max="13" width="15.375" customWidth="1"/>
    <col min="14" max="14" width="10.125" bestFit="1" customWidth="1"/>
    <col min="15" max="15" width="11.25" bestFit="1" customWidth="1"/>
    <col min="16" max="16" width="13.625" customWidth="1"/>
    <col min="17" max="17" width="13.375" customWidth="1"/>
    <col min="18" max="18" width="9.125" customWidth="1"/>
    <col min="20" max="20" width="9.125" customWidth="1"/>
  </cols>
  <sheetData>
    <row r="1" spans="1:17" s="14" customFormat="1" x14ac:dyDescent="0.2">
      <c r="A1" s="14" t="s">
        <v>22</v>
      </c>
      <c r="B1" s="14" t="s">
        <v>2</v>
      </c>
      <c r="C1" s="14" t="s">
        <v>12</v>
      </c>
      <c r="D1" s="14" t="s">
        <v>24</v>
      </c>
      <c r="E1" s="14" t="s">
        <v>5</v>
      </c>
      <c r="F1" s="14" t="s">
        <v>6</v>
      </c>
      <c r="G1" s="14" t="s">
        <v>11</v>
      </c>
      <c r="H1" s="14" t="s">
        <v>79</v>
      </c>
      <c r="I1" s="14" t="s">
        <v>28</v>
      </c>
      <c r="J1" s="14" t="s">
        <v>87</v>
      </c>
      <c r="K1" s="14" t="s">
        <v>29</v>
      </c>
      <c r="L1" s="14" t="s">
        <v>89</v>
      </c>
      <c r="M1" s="14" t="s">
        <v>59</v>
      </c>
      <c r="N1" s="14" t="s">
        <v>60</v>
      </c>
      <c r="O1" s="14" t="s">
        <v>61</v>
      </c>
      <c r="P1" s="14" t="s">
        <v>81</v>
      </c>
      <c r="Q1" s="14" t="s">
        <v>80</v>
      </c>
    </row>
    <row r="2" spans="1:17" x14ac:dyDescent="0.2">
      <c r="A2">
        <v>251</v>
      </c>
      <c r="B2" t="s">
        <v>23</v>
      </c>
      <c r="C2" t="s">
        <v>32</v>
      </c>
      <c r="D2" t="s">
        <v>25</v>
      </c>
      <c r="E2">
        <v>47.5</v>
      </c>
      <c r="F2">
        <v>20</v>
      </c>
      <c r="G2">
        <f t="shared" ref="G2:G8" si="0">E2-F2</f>
        <v>27.5</v>
      </c>
      <c r="H2">
        <f>SUMIFS(مصاريف_اللوط[المبلغ],مصاريف_اللوط[اللوط],الصادر[رقم اللوط])</f>
        <v>2400</v>
      </c>
      <c r="I2">
        <f>SUMIFS(بيان_اللوط[عدد الباليتات],بيان_اللوط[رقم اللوط],الصادر[رقم اللوط])</f>
        <v>21</v>
      </c>
      <c r="J2">
        <f>VLOOKUP(الصادر[رقم اللوط],loat_details[],3,FALSE)</f>
        <v>5144</v>
      </c>
      <c r="K2">
        <f>VLOOKUP(الصادر[رقم اللوط],loat_details[],4,FALSE)</f>
        <v>2268</v>
      </c>
      <c r="L2">
        <f>VLOOKUP(الصادر[رقم اللوط],loat_details[],5,FALSE)</f>
        <v>5261.7599999999993</v>
      </c>
      <c r="M2" s="16">
        <f>VLOOKUP(الصادر[رقم اللوط],Table1[[رقم اللوط ]:[الاجمالي]],1,FALSE)</f>
        <v>251</v>
      </c>
      <c r="N2" s="16">
        <f>VLOOKUP(الصادر[رقم اللوط],بيان_الرص[[رقم اللوط]:[الاجمالي]],1,FALSE)</f>
        <v>251</v>
      </c>
      <c r="O2" s="16">
        <f>VLOOKUP(الصادر[رقم اللوط],Table14[[رقم اللوط]:[الاجمالي]],1,FALSE)</f>
        <v>251</v>
      </c>
      <c r="P2" s="16">
        <f>(الصادر[[#This Row],[الوزن الصافي]]-1)*100</f>
        <v>2650</v>
      </c>
      <c r="Q2" s="2">
        <f>SUM(الصادر[[#This Row],[تاكليف الخياطه]],الصادر[[#This Row],[تكايف الرص]],الصادر[[#This Row],[تكاليف الفرز والتعبئه]],الصادر[[#This Row],[مصاريف اللجان]],الصادر[[#This Row],[ارضية المحطه]],الصادر[[#This Row],[تكلفة شكاير]],الصادر[[#This Row],[تكلفة باليتات]])</f>
        <v>16208.759999999998</v>
      </c>
    </row>
    <row r="3" spans="1:17" x14ac:dyDescent="0.2">
      <c r="A3">
        <v>252</v>
      </c>
      <c r="B3" t="s">
        <v>26</v>
      </c>
      <c r="C3" t="s">
        <v>32</v>
      </c>
      <c r="D3" t="s">
        <v>27</v>
      </c>
      <c r="E3">
        <v>49</v>
      </c>
      <c r="F3">
        <v>21</v>
      </c>
      <c r="G3">
        <f t="shared" si="0"/>
        <v>28</v>
      </c>
      <c r="H3">
        <f>SUMIFS(مصاريف_اللوط[المبلغ],مصاريف_اللوط[اللوط],الصادر[رقم اللوط])</f>
        <v>1900</v>
      </c>
      <c r="I3">
        <f>SUMIFS(بيان_اللوط[عدد الباليتات],بيان_اللوط[رقم اللوط],الصادر[رقم اللوط])</f>
        <v>33</v>
      </c>
      <c r="J3">
        <f>VLOOKUP(الصادر[رقم اللوط],loat_details[],3,FALSE)</f>
        <v>8024</v>
      </c>
      <c r="K3">
        <f>VLOOKUP(الصادر[رقم اللوط],loat_details[],4,FALSE)</f>
        <v>3564</v>
      </c>
      <c r="L3">
        <f>VLOOKUP(الصادر[رقم اللوط],loat_details[],5,FALSE)</f>
        <v>8268.48</v>
      </c>
      <c r="M3" s="16">
        <f>VLOOKUP(الصادر[رقم اللوط],Table1[[رقم اللوط ]:[الاجمالي]],1,FALSE)</f>
        <v>252</v>
      </c>
      <c r="N3" s="16">
        <f>VLOOKUP(الصادر[رقم اللوط],بيان_الرص[[رقم اللوط]:[الاجمالي]],1,FALSE)</f>
        <v>252</v>
      </c>
      <c r="O3" s="16">
        <f>VLOOKUP(الصادر[رقم اللوط],Table14[[رقم اللوط]:[الاجمالي]],1,FALSE)</f>
        <v>252</v>
      </c>
      <c r="P3" s="16">
        <f>(الصادر[[#This Row],[الوزن الصافي]]-1)*100</f>
        <v>2700</v>
      </c>
      <c r="Q3" s="2">
        <f>SUM(الصادر[[#This Row],[تاكليف الخياطه]],الصادر[[#This Row],[تكايف الرص]],الصادر[[#This Row],[تكاليف الفرز والتعبئه]],الصادر[[#This Row],[مصاريف اللجان]],الصادر[[#This Row],[ارضية المحطه]],الصادر[[#This Row],[تكلفة شكاير]],الصادر[[#This Row],[تكلفة باليتات]])</f>
        <v>21648.48</v>
      </c>
    </row>
    <row r="4" spans="1:17" x14ac:dyDescent="0.2">
      <c r="A4">
        <v>253</v>
      </c>
      <c r="B4" t="s">
        <v>39</v>
      </c>
      <c r="C4" t="s">
        <v>33</v>
      </c>
      <c r="D4" t="s">
        <v>40</v>
      </c>
      <c r="E4">
        <v>46</v>
      </c>
      <c r="F4">
        <v>20</v>
      </c>
      <c r="G4">
        <f t="shared" si="0"/>
        <v>26</v>
      </c>
      <c r="H4">
        <f>SUMIFS(مصاريف_اللوط[المبلغ],مصاريف_اللوط[اللوط],الصادر[رقم اللوط])</f>
        <v>0</v>
      </c>
      <c r="I4">
        <f>SUMIFS(بيان_اللوط[عدد الباليتات],بيان_اللوط[رقم اللوط],الصادر[رقم اللوط])</f>
        <v>21</v>
      </c>
      <c r="J4">
        <f>VLOOKUP(الصادر[رقم اللوط],loat_details[],3,FALSE)</f>
        <v>5144</v>
      </c>
      <c r="K4">
        <f>VLOOKUP(الصادر[رقم اللوط],loat_details[],4,FALSE)</f>
        <v>2268</v>
      </c>
      <c r="L4">
        <f>VLOOKUP(الصادر[رقم اللوط],loat_details[],5,FALSE)</f>
        <v>5261.7599999999993</v>
      </c>
      <c r="M4" s="16">
        <f>VLOOKUP(الصادر[رقم اللوط],Table1[[رقم اللوط ]:[الاجمالي]],1,FALSE)</f>
        <v>253</v>
      </c>
      <c r="N4" s="16">
        <f>VLOOKUP(الصادر[رقم اللوط],بيان_الرص[[رقم اللوط]:[الاجمالي]],1,FALSE)</f>
        <v>253</v>
      </c>
      <c r="O4" s="16">
        <f>VLOOKUP(الصادر[رقم اللوط],Table14[[رقم اللوط]:[الاجمالي]],1,FALSE)</f>
        <v>253</v>
      </c>
      <c r="P4" s="16">
        <f>(الصادر[[#This Row],[الوزن الصافي]]-1)*100</f>
        <v>2500</v>
      </c>
      <c r="Q4" s="2">
        <f>SUM(الصادر[[#This Row],[تاكليف الخياطه]],الصادر[[#This Row],[تكايف الرص]],الصادر[[#This Row],[تكاليف الفرز والتعبئه]],الصادر[[#This Row],[مصاريف اللجان]],الصادر[[#This Row],[ارضية المحطه]],الصادر[[#This Row],[تكلفة شكاير]],الصادر[[#This Row],[تكلفة باليتات]])</f>
        <v>13664.759999999998</v>
      </c>
    </row>
    <row r="5" spans="1:17" x14ac:dyDescent="0.2">
      <c r="A5">
        <v>254</v>
      </c>
      <c r="B5" t="s">
        <v>47</v>
      </c>
      <c r="C5" t="s">
        <v>32</v>
      </c>
      <c r="D5" t="s">
        <v>56</v>
      </c>
      <c r="E5">
        <v>47</v>
      </c>
      <c r="F5">
        <v>19</v>
      </c>
      <c r="G5">
        <f t="shared" si="0"/>
        <v>28</v>
      </c>
      <c r="H5" s="2">
        <f>SUMIFS(مصاريف_اللوط[المبلغ],مصاريف_اللوط[اللوط],الصادر[رقم اللوط])</f>
        <v>0</v>
      </c>
      <c r="I5">
        <f>SUMIFS(بيان_اللوط[عدد الباليتات],بيان_اللوط[رقم اللوط],الصادر[رقم اللوط])</f>
        <v>21</v>
      </c>
      <c r="J5">
        <f>VLOOKUP(الصادر[رقم اللوط],loat_details[],3,FALSE)</f>
        <v>5144</v>
      </c>
      <c r="K5">
        <f>VLOOKUP(الصادر[رقم اللوط],loat_details[],4,FALSE)</f>
        <v>2268</v>
      </c>
      <c r="L5">
        <f>VLOOKUP(الصادر[رقم اللوط],loat_details[],5,FALSE)</f>
        <v>5261.7599999999993</v>
      </c>
      <c r="M5" s="16">
        <f>VLOOKUP(الصادر[رقم اللوط],Table1[[رقم اللوط ]:[الاجمالي]],1,FALSE)</f>
        <v>254</v>
      </c>
      <c r="N5" s="16">
        <f>VLOOKUP(الصادر[رقم اللوط],بيان_الرص[[رقم اللوط]:[الاجمالي]],1,FALSE)</f>
        <v>254</v>
      </c>
      <c r="O5" s="16">
        <f>VLOOKUP(الصادر[رقم اللوط],Table14[[رقم اللوط]:[الاجمالي]],1,FALSE)</f>
        <v>254</v>
      </c>
      <c r="P5" s="16">
        <f>(الصادر[[#This Row],[الوزن الصافي]]-1)*100</f>
        <v>2700</v>
      </c>
      <c r="Q5" s="2">
        <f>SUM(الصادر[[#This Row],[تاكليف الخياطه]],الصادر[[#This Row],[تكايف الرص]],الصادر[[#This Row],[تكاليف الفرز والتعبئه]],الصادر[[#This Row],[مصاريف اللجان]],الصادر[[#This Row],[ارضية المحطه]],الصادر[[#This Row],[تكلفة شكاير]],الصادر[[#This Row],[تكلفة باليتات]])</f>
        <v>13867.759999999998</v>
      </c>
    </row>
    <row r="6" spans="1:17" x14ac:dyDescent="0.2">
      <c r="A6">
        <v>255</v>
      </c>
      <c r="B6" t="s">
        <v>49</v>
      </c>
      <c r="C6" t="s">
        <v>33</v>
      </c>
      <c r="D6" t="s">
        <v>57</v>
      </c>
      <c r="E6">
        <v>46.5</v>
      </c>
      <c r="F6">
        <v>18.5</v>
      </c>
      <c r="G6">
        <f t="shared" si="0"/>
        <v>28</v>
      </c>
      <c r="H6" s="2">
        <f>SUMIFS(مصاريف_اللوط[المبلغ],مصاريف_اللوط[اللوط],الصادر[رقم اللوط])</f>
        <v>0</v>
      </c>
      <c r="I6">
        <f>SUMIFS(بيان_اللوط[عدد الباليتات],بيان_اللوط[رقم اللوط],الصادر[رقم اللوط])</f>
        <v>21</v>
      </c>
      <c r="J6">
        <f>VLOOKUP(الصادر[رقم اللوط],loat_details[],3,FALSE)</f>
        <v>5144</v>
      </c>
      <c r="K6">
        <f>VLOOKUP(الصادر[رقم اللوط],loat_details[],4,FALSE)</f>
        <v>2268</v>
      </c>
      <c r="L6">
        <f>VLOOKUP(الصادر[رقم اللوط],loat_details[],5,FALSE)</f>
        <v>5261.7599999999993</v>
      </c>
      <c r="M6" s="16">
        <f>VLOOKUP(الصادر[رقم اللوط],Table1[[رقم اللوط ]:[الاجمالي]],1,FALSE)</f>
        <v>255</v>
      </c>
      <c r="N6" s="16">
        <f>VLOOKUP(الصادر[رقم اللوط],بيان_الرص[[رقم اللوط]:[الاجمالي]],1,FALSE)</f>
        <v>255</v>
      </c>
      <c r="O6" s="16">
        <f>VLOOKUP(الصادر[رقم اللوط],Table14[[رقم اللوط]:[الاجمالي]],1,FALSE)</f>
        <v>255</v>
      </c>
      <c r="P6" s="16">
        <f>(الصادر[[#This Row],[الوزن الصافي]]-1)*100</f>
        <v>2700</v>
      </c>
      <c r="Q6" s="2">
        <f>SUM(الصادر[[#This Row],[تاكليف الخياطه]],الصادر[[#This Row],[تكايف الرص]],الصادر[[#This Row],[تكاليف الفرز والتعبئه]],الصادر[[#This Row],[مصاريف اللجان]],الصادر[[#This Row],[ارضية المحطه]],الصادر[[#This Row],[تكلفة شكاير]],الصادر[[#This Row],[تكلفة باليتات]])</f>
        <v>13870.759999999998</v>
      </c>
    </row>
    <row r="7" spans="1:17" x14ac:dyDescent="0.2">
      <c r="A7">
        <v>256</v>
      </c>
      <c r="B7" t="s">
        <v>51</v>
      </c>
      <c r="C7" t="s">
        <v>32</v>
      </c>
      <c r="D7" t="s">
        <v>67</v>
      </c>
      <c r="E7">
        <v>49.6</v>
      </c>
      <c r="F7">
        <v>19.7</v>
      </c>
      <c r="G7">
        <f t="shared" si="0"/>
        <v>29.900000000000002</v>
      </c>
      <c r="H7" s="2">
        <f>SUMIFS(مصاريف_اللوط[المبلغ],مصاريف_اللوط[اللوط],الصادر[رقم اللوط])</f>
        <v>0</v>
      </c>
      <c r="I7" s="2">
        <f>SUMIFS(بيان_اللوط[عدد الباليتات],بيان_اللوط[رقم اللوط],الصادر[رقم اللوط])</f>
        <v>21</v>
      </c>
      <c r="J7" s="2">
        <f>VLOOKUP(الصادر[رقم اللوط],loat_details[],3,FALSE)</f>
        <v>5144</v>
      </c>
      <c r="K7" s="2">
        <f>VLOOKUP(الصادر[رقم اللوط],loat_details[],4,FALSE)</f>
        <v>2268</v>
      </c>
      <c r="L7" s="2">
        <f>VLOOKUP(الصادر[رقم اللوط],loat_details[],5,FALSE)</f>
        <v>5261.7599999999993</v>
      </c>
      <c r="M7" s="16">
        <f>VLOOKUP(الصادر[رقم اللوط],Table1[[رقم اللوط ]:[الاجمالي]],1,FALSE)</f>
        <v>256</v>
      </c>
      <c r="N7" s="16">
        <f>VLOOKUP(الصادر[رقم اللوط],بيان_الرص[[رقم اللوط]:[الاجمالي]],1,FALSE)</f>
        <v>256</v>
      </c>
      <c r="O7" s="16">
        <f>VLOOKUP(الصادر[رقم اللوط],Table14[[رقم اللوط]:[الاجمالي]],1,FALSE)</f>
        <v>256</v>
      </c>
      <c r="P7" s="16">
        <f>(الصادر[[#This Row],[الوزن الصافي]]-1)*100</f>
        <v>2890</v>
      </c>
      <c r="Q7" s="2">
        <f>SUM(الصادر[[#This Row],[تاكليف الخياطه]],الصادر[[#This Row],[تكايف الرص]],الصادر[[#This Row],[تكاليف الفرز والتعبئه]],الصادر[[#This Row],[مصاريف اللجان]],الصادر[[#This Row],[ارضية المحطه]],الصادر[[#This Row],[تكلفة شكاير]],الصادر[[#This Row],[تكلفة باليتات]])</f>
        <v>14063.759999999998</v>
      </c>
    </row>
    <row r="8" spans="1:17" x14ac:dyDescent="0.2">
      <c r="A8">
        <v>257</v>
      </c>
      <c r="B8" t="s">
        <v>52</v>
      </c>
      <c r="C8" t="s">
        <v>32</v>
      </c>
      <c r="D8" t="s">
        <v>83</v>
      </c>
      <c r="E8">
        <v>47.96</v>
      </c>
      <c r="F8">
        <v>19</v>
      </c>
      <c r="G8">
        <f t="shared" si="0"/>
        <v>28.96</v>
      </c>
      <c r="H8" s="2">
        <f>SUMIFS(مصاريف_اللوط[المبلغ],مصاريف_اللوط[اللوط],الصادر[رقم اللوط])</f>
        <v>600</v>
      </c>
      <c r="I8" s="2">
        <f>SUMIFS(بيان_اللوط[عدد الباليتات],بيان_اللوط[رقم اللوط],الصادر[رقم اللوط])</f>
        <v>21</v>
      </c>
      <c r="J8" s="2">
        <f>VLOOKUP(الصادر[رقم اللوط],loat_details[],3,FALSE)</f>
        <v>5144</v>
      </c>
      <c r="K8" s="2">
        <f>VLOOKUP(الصادر[رقم اللوط],loat_details[],4,FALSE)</f>
        <v>2268</v>
      </c>
      <c r="L8" s="2">
        <f>VLOOKUP(الصادر[رقم اللوط],loat_details[],5,FALSE)</f>
        <v>5261.7599999999993</v>
      </c>
      <c r="M8" s="16">
        <f>VLOOKUP(الصادر[رقم اللوط],Table1[[رقم اللوط ]:[الاجمالي]],1,FALSE)</f>
        <v>257</v>
      </c>
      <c r="N8" s="16">
        <f>VLOOKUP(الصادر[رقم اللوط],بيان_الرص[[رقم اللوط]:[الاجمالي]],1,FALSE)</f>
        <v>257</v>
      </c>
      <c r="O8" s="16">
        <f>VLOOKUP(الصادر[رقم اللوط],Table14[[رقم اللوط]:[الاجمالي]],1,FALSE)</f>
        <v>257</v>
      </c>
      <c r="P8" s="16">
        <f>(الصادر[[#This Row],[الوزن الصافي]]-1)*100</f>
        <v>2796</v>
      </c>
      <c r="Q8" s="2">
        <f>SUM(الصادر[[#This Row],[تاكليف الخياطه]],الصادر[[#This Row],[تكايف الرص]],الصادر[[#This Row],[تكاليف الفرز والتعبئه]],الصادر[[#This Row],[مصاريف اللجان]],الصادر[[#This Row],[ارضية المحطه]],الصادر[[#This Row],[تكلفة شكاير]],الصادر[[#This Row],[تكلفة باليتات]])</f>
        <v>14572.759999999998</v>
      </c>
    </row>
  </sheetData>
  <dataValidations count="1">
    <dataValidation type="list" allowBlank="1" showInputMessage="1" showErrorMessage="1" sqref="X2:X6" xr:uid="{174E3463-43D1-467E-A0A2-3CEECCC4374C}">
      <formula1>$A$2:$A$3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0627BE0-66B6-4A87-96EA-AE8451018AB1}">
          <x14:formula1>
            <xm:f>العملاء!$A$2:$A$3</xm:f>
          </x14:formula1>
          <xm:sqref>C2:C8</xm:sqref>
        </x14:dataValidation>
        <x14:dataValidation type="list" allowBlank="1" showInputMessage="1" showErrorMessage="1" xr:uid="{63F9C54A-7C17-4C08-8905-0AB66E21B58C}">
          <x14:formula1>
            <xm:f>'قاعدة بيانات'!$F$2:$F$5</xm:f>
          </x14:formula1>
          <xm:sqref>Y2:Y8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F7339-0831-49A7-8839-3593BA157287}">
  <sheetPr codeName="Sheet7"/>
  <dimension ref="A1:N16"/>
  <sheetViews>
    <sheetView rightToLeft="1" tabSelected="1" zoomScale="149" workbookViewId="0">
      <selection activeCell="H8" sqref="H8"/>
    </sheetView>
  </sheetViews>
  <sheetFormatPr defaultRowHeight="14.25" x14ac:dyDescent="0.2"/>
  <cols>
    <col min="6" max="6" width="12.625" customWidth="1"/>
    <col min="7" max="8" width="12" customWidth="1"/>
    <col min="11" max="11" width="10.125" customWidth="1"/>
    <col min="12" max="12" width="9.5" customWidth="1"/>
    <col min="13" max="13" width="12" customWidth="1"/>
  </cols>
  <sheetData>
    <row r="1" spans="1:14" x14ac:dyDescent="0.2">
      <c r="A1" t="s">
        <v>22</v>
      </c>
      <c r="B1" t="s">
        <v>28</v>
      </c>
      <c r="C1" t="s">
        <v>62</v>
      </c>
      <c r="D1" t="s">
        <v>29</v>
      </c>
      <c r="E1" t="s">
        <v>41</v>
      </c>
      <c r="F1" t="s">
        <v>88</v>
      </c>
      <c r="G1" t="s">
        <v>13</v>
      </c>
      <c r="J1" t="s">
        <v>22</v>
      </c>
      <c r="K1" t="s">
        <v>64</v>
      </c>
      <c r="L1" t="s">
        <v>87</v>
      </c>
      <c r="M1" t="s">
        <v>65</v>
      </c>
      <c r="N1" t="s">
        <v>89</v>
      </c>
    </row>
    <row r="2" spans="1:14" x14ac:dyDescent="0.2">
      <c r="A2">
        <v>251</v>
      </c>
      <c r="B2">
        <v>4</v>
      </c>
      <c r="C2" t="s">
        <v>66</v>
      </c>
      <c r="D2">
        <v>108</v>
      </c>
      <c r="E2">
        <v>12</v>
      </c>
      <c r="F2">
        <f>بيان_اللوط[[#This Row],[عدد الباليتات]]*بيان_اللوط[[#This Row],[عدد الشكاير]]</f>
        <v>432</v>
      </c>
      <c r="G2">
        <f xml:space="preserve"> بيان_اللوط[[#This Row],[عدد الباليتات]]* VLOOKUP(بيان_اللوط[نوع الباليته],Table21[],2,FALSE)</f>
        <v>1064</v>
      </c>
      <c r="J2">
        <v>251</v>
      </c>
      <c r="K2">
        <f>SUMIFS(بيان_اللوط[عدد الباليتات],بيان_اللوط[رقم اللوط],loat_details[[#This Row],[رقم اللوط]])</f>
        <v>21</v>
      </c>
      <c r="L2">
        <f>SUMIFS(بيان_اللوط[الاجمالي],بيان_اللوط[رقم اللوط],loat_details[[#This Row],[رقم اللوط]])</f>
        <v>5144</v>
      </c>
      <c r="M2">
        <f>SUMIFS(بيان_اللوط[اجمالي الشكاير],بيان_اللوط[رقم اللوط],loat_details[رقم اللوط])</f>
        <v>2268</v>
      </c>
      <c r="N2" s="54">
        <f>loat_details[[#This Row],[اجمالي شكاير]] * VLOOKUP(بيان_اللوط[وزن الشكاره],Table22[],2,FALSE)</f>
        <v>5261.7599999999993</v>
      </c>
    </row>
    <row r="3" spans="1:14" x14ac:dyDescent="0.2">
      <c r="A3">
        <v>251</v>
      </c>
      <c r="B3">
        <v>17</v>
      </c>
      <c r="C3" t="s">
        <v>63</v>
      </c>
      <c r="D3">
        <v>108</v>
      </c>
      <c r="E3">
        <v>12</v>
      </c>
      <c r="F3">
        <f>بيان_اللوط[[#This Row],[عدد الباليتات]]*بيان_اللوط[[#This Row],[عدد الشكاير]]</f>
        <v>1836</v>
      </c>
      <c r="G3">
        <f xml:space="preserve"> بيان_اللوط[[#This Row],[عدد الباليتات]]* VLOOKUP(بيان_اللوط[نوع الباليته],Table21[],2,FALSE)</f>
        <v>4080</v>
      </c>
      <c r="J3">
        <v>252</v>
      </c>
      <c r="K3">
        <f>SUMIFS(بيان_اللوط[عدد الباليتات],بيان_اللوط[رقم اللوط],loat_details[[#This Row],[رقم اللوط]])</f>
        <v>33</v>
      </c>
      <c r="L3">
        <f>SUMIFS(بيان_اللوط[الاجمالي],بيان_اللوط[رقم اللوط],loat_details[[#This Row],[رقم اللوط]])</f>
        <v>8024</v>
      </c>
      <c r="M3">
        <f>SUMIFS(بيان_اللوط[اجمالي الشكاير],بيان_اللوط[رقم اللوط],loat_details[رقم اللوط])</f>
        <v>3564</v>
      </c>
      <c r="N3" s="54">
        <f>loat_details[[#This Row],[اجمالي شكاير]] * VLOOKUP(بيان_اللوط[وزن الشكاره],Table22[],2,FALSE)</f>
        <v>8268.48</v>
      </c>
    </row>
    <row r="4" spans="1:14" x14ac:dyDescent="0.2">
      <c r="A4">
        <v>252</v>
      </c>
      <c r="B4">
        <v>12</v>
      </c>
      <c r="C4" t="s">
        <v>63</v>
      </c>
      <c r="D4">
        <v>108</v>
      </c>
      <c r="E4">
        <v>12</v>
      </c>
      <c r="F4">
        <f>بيان_اللوط[[#This Row],[عدد الباليتات]]*بيان_اللوط[[#This Row],[عدد الشكاير]]</f>
        <v>1296</v>
      </c>
      <c r="G4">
        <f xml:space="preserve"> بيان_اللوط[[#This Row],[عدد الباليتات]]* VLOOKUP(بيان_اللوط[نوع الباليته],Table21[],2,FALSE)</f>
        <v>2880</v>
      </c>
      <c r="J4">
        <v>253</v>
      </c>
      <c r="K4">
        <f>SUMIFS(بيان_اللوط[عدد الباليتات],بيان_اللوط[رقم اللوط],loat_details[[#This Row],[رقم اللوط]])</f>
        <v>21</v>
      </c>
      <c r="L4">
        <f>SUMIFS(بيان_اللوط[الاجمالي],بيان_اللوط[رقم اللوط],loat_details[[#This Row],[رقم اللوط]])</f>
        <v>5144</v>
      </c>
      <c r="M4">
        <f>SUMIFS(بيان_اللوط[اجمالي الشكاير],بيان_اللوط[رقم اللوط],loat_details[رقم اللوط])</f>
        <v>2268</v>
      </c>
      <c r="N4" s="54">
        <f>loat_details[[#This Row],[اجمالي شكاير]] * VLOOKUP(بيان_اللوط[وزن الشكاره],Table22[],2,FALSE)</f>
        <v>5261.7599999999993</v>
      </c>
    </row>
    <row r="5" spans="1:14" x14ac:dyDescent="0.2">
      <c r="A5">
        <v>252</v>
      </c>
      <c r="B5">
        <v>4</v>
      </c>
      <c r="C5" t="s">
        <v>66</v>
      </c>
      <c r="D5">
        <v>108</v>
      </c>
      <c r="E5">
        <v>12</v>
      </c>
      <c r="F5">
        <f>بيان_اللوط[[#This Row],[عدد الباليتات]]*بيان_اللوط[[#This Row],[عدد الشكاير]]</f>
        <v>432</v>
      </c>
      <c r="G5">
        <f xml:space="preserve"> بيان_اللوط[[#This Row],[عدد الباليتات]]* VLOOKUP(بيان_اللوط[نوع الباليته],Table21[],2,FALSE)</f>
        <v>1064</v>
      </c>
      <c r="J5">
        <v>254</v>
      </c>
      <c r="K5">
        <f>SUMIFS(بيان_اللوط[عدد الباليتات],بيان_اللوط[رقم اللوط],loat_details[[#This Row],[رقم اللوط]])</f>
        <v>21</v>
      </c>
      <c r="L5">
        <f>SUMIFS(بيان_اللوط[الاجمالي],بيان_اللوط[رقم اللوط],loat_details[[#This Row],[رقم اللوط]])</f>
        <v>5144</v>
      </c>
      <c r="M5">
        <f>SUMIFS(بيان_اللوط[اجمالي الشكاير],بيان_اللوط[رقم اللوط],loat_details[رقم اللوط])</f>
        <v>2268</v>
      </c>
      <c r="N5" s="54">
        <f>loat_details[[#This Row],[اجمالي شكاير]] * VLOOKUP(بيان_اللوط[وزن الشكاره],Table22[],2,FALSE)</f>
        <v>5261.7599999999993</v>
      </c>
    </row>
    <row r="6" spans="1:14" x14ac:dyDescent="0.2">
      <c r="A6">
        <v>252</v>
      </c>
      <c r="B6">
        <v>17</v>
      </c>
      <c r="C6" t="s">
        <v>63</v>
      </c>
      <c r="D6">
        <v>108</v>
      </c>
      <c r="E6">
        <v>12</v>
      </c>
      <c r="F6">
        <f>بيان_اللوط[[#This Row],[عدد الباليتات]]*بيان_اللوط[[#This Row],[عدد الشكاير]]</f>
        <v>1836</v>
      </c>
      <c r="G6">
        <f xml:space="preserve"> بيان_اللوط[[#This Row],[عدد الباليتات]]* VLOOKUP(بيان_اللوط[نوع الباليته],Table21[],2,FALSE)</f>
        <v>4080</v>
      </c>
      <c r="J6">
        <v>255</v>
      </c>
      <c r="K6">
        <f>SUMIFS(بيان_اللوط[عدد الباليتات],بيان_اللوط[رقم اللوط],loat_details[[#This Row],[رقم اللوط]])</f>
        <v>21</v>
      </c>
      <c r="L6">
        <f>SUMIFS(بيان_اللوط[الاجمالي],بيان_اللوط[رقم اللوط],loat_details[[#This Row],[رقم اللوط]])</f>
        <v>5144</v>
      </c>
      <c r="M6">
        <f>SUMIFS(بيان_اللوط[اجمالي الشكاير],بيان_اللوط[رقم اللوط],loat_details[رقم اللوط])</f>
        <v>2268</v>
      </c>
      <c r="N6" s="54">
        <f>loat_details[[#This Row],[اجمالي شكاير]] * VLOOKUP(بيان_اللوط[وزن الشكاره],Table22[],2,FALSE)</f>
        <v>5261.7599999999993</v>
      </c>
    </row>
    <row r="7" spans="1:14" x14ac:dyDescent="0.2">
      <c r="A7">
        <v>253</v>
      </c>
      <c r="B7">
        <v>17</v>
      </c>
      <c r="C7" t="s">
        <v>63</v>
      </c>
      <c r="D7">
        <v>108</v>
      </c>
      <c r="E7">
        <v>12</v>
      </c>
      <c r="F7">
        <f>بيان_اللوط[[#This Row],[عدد الباليتات]]*بيان_اللوط[[#This Row],[عدد الشكاير]]</f>
        <v>1836</v>
      </c>
      <c r="G7">
        <f xml:space="preserve"> بيان_اللوط[[#This Row],[عدد الباليتات]]* VLOOKUP(بيان_اللوط[نوع الباليته],Table21[],2,FALSE)</f>
        <v>4080</v>
      </c>
      <c r="J7">
        <v>256</v>
      </c>
      <c r="K7">
        <f>SUMIFS(بيان_اللوط[عدد الباليتات],بيان_اللوط[رقم اللوط],loat_details[[#This Row],[رقم اللوط]])</f>
        <v>21</v>
      </c>
      <c r="L7">
        <f>SUMIFS(بيان_اللوط[الاجمالي],بيان_اللوط[رقم اللوط],loat_details[[#This Row],[رقم اللوط]])</f>
        <v>5144</v>
      </c>
      <c r="M7">
        <f>SUMIFS(بيان_اللوط[اجمالي الشكاير],بيان_اللوط[رقم اللوط],loat_details[رقم اللوط])</f>
        <v>2268</v>
      </c>
      <c r="N7" s="54">
        <f>loat_details[[#This Row],[اجمالي شكاير]] * VLOOKUP(بيان_اللوط[وزن الشكاره],Table22[],2,FALSE)</f>
        <v>5261.7599999999993</v>
      </c>
    </row>
    <row r="8" spans="1:14" x14ac:dyDescent="0.2">
      <c r="A8">
        <v>253</v>
      </c>
      <c r="B8">
        <v>4</v>
      </c>
      <c r="C8" t="s">
        <v>66</v>
      </c>
      <c r="D8">
        <v>108</v>
      </c>
      <c r="E8">
        <v>12</v>
      </c>
      <c r="F8">
        <f>بيان_اللوط[[#This Row],[عدد الباليتات]]*بيان_اللوط[[#This Row],[عدد الشكاير]]</f>
        <v>432</v>
      </c>
      <c r="G8">
        <f xml:space="preserve"> بيان_اللوط[[#This Row],[عدد الباليتات]]* VLOOKUP(بيان_اللوط[نوع الباليته],Table21[],2,FALSE)</f>
        <v>1064</v>
      </c>
      <c r="J8">
        <v>257</v>
      </c>
      <c r="K8">
        <f>SUMIFS(بيان_اللوط[عدد الباليتات],بيان_اللوط[رقم اللوط],loat_details[[#This Row],[رقم اللوط]])</f>
        <v>21</v>
      </c>
      <c r="L8">
        <f>SUMIFS(بيان_اللوط[الاجمالي],بيان_اللوط[رقم اللوط],loat_details[[#This Row],[رقم اللوط]])</f>
        <v>5144</v>
      </c>
      <c r="M8">
        <f>SUMIFS(بيان_اللوط[اجمالي الشكاير],بيان_اللوط[رقم اللوط],loat_details[رقم اللوط])</f>
        <v>2268</v>
      </c>
      <c r="N8" s="54">
        <f>loat_details[[#This Row],[اجمالي شكاير]] * VLOOKUP(بيان_اللوط[وزن الشكاره],Table22[],2,FALSE)</f>
        <v>5261.7599999999993</v>
      </c>
    </row>
    <row r="9" spans="1:14" x14ac:dyDescent="0.2">
      <c r="A9">
        <v>254</v>
      </c>
      <c r="B9">
        <v>17</v>
      </c>
      <c r="C9" t="s">
        <v>63</v>
      </c>
      <c r="D9">
        <v>108</v>
      </c>
      <c r="E9">
        <v>12</v>
      </c>
      <c r="F9">
        <f>بيان_اللوط[[#This Row],[عدد الباليتات]]*بيان_اللوط[[#This Row],[عدد الشكاير]]</f>
        <v>1836</v>
      </c>
      <c r="G9" s="2">
        <f xml:space="preserve"> بيان_اللوط[[#This Row],[عدد الباليتات]]* VLOOKUP(بيان_اللوط[نوع الباليته],Table21[],2,FALSE)</f>
        <v>4080</v>
      </c>
      <c r="H9" s="2"/>
      <c r="J9">
        <v>258</v>
      </c>
      <c r="K9">
        <f>SUMIFS(بيان_اللوط[عدد الباليتات],بيان_اللوط[رقم اللوط],loat_details[[#This Row],[رقم اللوط]])</f>
        <v>0</v>
      </c>
      <c r="L9">
        <f>SUMIFS(بيان_اللوط[الاجمالي],بيان_اللوط[رقم اللوط],loat_details[[#This Row],[رقم اللوط]])</f>
        <v>0</v>
      </c>
      <c r="M9">
        <f>SUMIFS(بيان_اللوط[اجمالي الشكاير],بيان_اللوط[رقم اللوط],loat_details[رقم اللوط])</f>
        <v>0</v>
      </c>
      <c r="N9" s="54">
        <f>loat_details[[#This Row],[اجمالي شكاير]] * VLOOKUP(بيان_اللوط[وزن الشكاره],Table22[],2,FALSE)</f>
        <v>0</v>
      </c>
    </row>
    <row r="10" spans="1:14" x14ac:dyDescent="0.2">
      <c r="A10">
        <v>254</v>
      </c>
      <c r="B10">
        <v>4</v>
      </c>
      <c r="C10" t="s">
        <v>66</v>
      </c>
      <c r="D10">
        <v>108</v>
      </c>
      <c r="E10">
        <v>12</v>
      </c>
      <c r="F10">
        <f>بيان_اللوط[[#This Row],[عدد الباليتات]]*بيان_اللوط[[#This Row],[عدد الشكاير]]</f>
        <v>432</v>
      </c>
      <c r="G10" s="2">
        <f xml:space="preserve"> بيان_اللوط[[#This Row],[عدد الباليتات]]* VLOOKUP(بيان_اللوط[نوع الباليته],Table21[],2,FALSE)</f>
        <v>1064</v>
      </c>
      <c r="H10" s="2"/>
      <c r="J10">
        <v>259</v>
      </c>
      <c r="K10">
        <f>SUMIFS(بيان_اللوط[عدد الباليتات],بيان_اللوط[رقم اللوط],loat_details[[#This Row],[رقم اللوط]])</f>
        <v>0</v>
      </c>
      <c r="L10">
        <f>SUMIFS(بيان_اللوط[الاجمالي],بيان_اللوط[رقم اللوط],loat_details[[#This Row],[رقم اللوط]])</f>
        <v>0</v>
      </c>
      <c r="M10">
        <f>SUMIFS(بيان_اللوط[اجمالي الشكاير],بيان_اللوط[رقم اللوط],loat_details[رقم اللوط])</f>
        <v>0</v>
      </c>
      <c r="N10" s="54">
        <f>loat_details[[#This Row],[اجمالي شكاير]] * VLOOKUP(بيان_اللوط[وزن الشكاره],Table22[],2,FALSE)</f>
        <v>0</v>
      </c>
    </row>
    <row r="11" spans="1:14" x14ac:dyDescent="0.2">
      <c r="A11">
        <v>255</v>
      </c>
      <c r="B11">
        <v>17</v>
      </c>
      <c r="C11" t="s">
        <v>63</v>
      </c>
      <c r="D11">
        <v>108</v>
      </c>
      <c r="E11">
        <v>12</v>
      </c>
      <c r="F11">
        <f>بيان_اللوط[[#This Row],[عدد الباليتات]]*بيان_اللوط[[#This Row],[عدد الشكاير]]</f>
        <v>1836</v>
      </c>
      <c r="G11" s="2">
        <f xml:space="preserve"> بيان_اللوط[[#This Row],[عدد الباليتات]]* VLOOKUP(بيان_اللوط[نوع الباليته],Table21[],2,FALSE)</f>
        <v>4080</v>
      </c>
      <c r="H11" s="2"/>
      <c r="J11">
        <v>260</v>
      </c>
      <c r="K11">
        <f>SUMIFS(بيان_اللوط[عدد الباليتات],بيان_اللوط[رقم اللوط],loat_details[[#This Row],[رقم اللوط]])</f>
        <v>0</v>
      </c>
      <c r="L11">
        <f>SUMIFS(بيان_اللوط[الاجمالي],بيان_اللوط[رقم اللوط],loat_details[[#This Row],[رقم اللوط]])</f>
        <v>0</v>
      </c>
      <c r="M11">
        <f>SUMIFS(بيان_اللوط[اجمالي الشكاير],بيان_اللوط[رقم اللوط],loat_details[رقم اللوط])</f>
        <v>0</v>
      </c>
      <c r="N11" s="54">
        <f>loat_details[[#This Row],[اجمالي شكاير]] * VLOOKUP(بيان_اللوط[وزن الشكاره],Table22[],2,FALSE)</f>
        <v>0</v>
      </c>
    </row>
    <row r="12" spans="1:14" x14ac:dyDescent="0.2">
      <c r="A12">
        <v>255</v>
      </c>
      <c r="B12">
        <v>4</v>
      </c>
      <c r="C12" t="s">
        <v>66</v>
      </c>
      <c r="D12">
        <v>108</v>
      </c>
      <c r="E12">
        <v>12</v>
      </c>
      <c r="F12">
        <f>بيان_اللوط[[#This Row],[عدد الباليتات]]*بيان_اللوط[[#This Row],[عدد الشكاير]]</f>
        <v>432</v>
      </c>
      <c r="G12" s="2">
        <f xml:space="preserve"> بيان_اللوط[[#This Row],[عدد الباليتات]]* VLOOKUP(بيان_اللوط[نوع الباليته],Table21[],2,FALSE)</f>
        <v>1064</v>
      </c>
      <c r="H12" s="2"/>
      <c r="J12">
        <v>261</v>
      </c>
      <c r="K12">
        <f>SUMIFS(بيان_اللوط[عدد الباليتات],بيان_اللوط[رقم اللوط],loat_details[[#This Row],[رقم اللوط]])</f>
        <v>0</v>
      </c>
      <c r="L12">
        <f>SUMIFS(بيان_اللوط[الاجمالي],بيان_اللوط[رقم اللوط],loat_details[[#This Row],[رقم اللوط]])</f>
        <v>0</v>
      </c>
      <c r="M12">
        <f>SUMIFS(بيان_اللوط[اجمالي الشكاير],بيان_اللوط[رقم اللوط],loat_details[رقم اللوط])</f>
        <v>0</v>
      </c>
      <c r="N12" s="54">
        <f>loat_details[[#This Row],[اجمالي شكاير]] * VLOOKUP(بيان_اللوط[وزن الشكاره],Table22[],2,FALSE)</f>
        <v>0</v>
      </c>
    </row>
    <row r="13" spans="1:14" x14ac:dyDescent="0.2">
      <c r="A13">
        <v>256</v>
      </c>
      <c r="B13">
        <v>17</v>
      </c>
      <c r="C13" t="s">
        <v>63</v>
      </c>
      <c r="D13">
        <v>108</v>
      </c>
      <c r="E13">
        <v>12</v>
      </c>
      <c r="F13">
        <f>بيان_اللوط[[#This Row],[عدد الباليتات]]*بيان_اللوط[[#This Row],[عدد الشكاير]]</f>
        <v>1836</v>
      </c>
      <c r="G13" s="2">
        <f xml:space="preserve"> بيان_اللوط[[#This Row],[عدد الباليتات]]* VLOOKUP(بيان_اللوط[نوع الباليته],Table21[],2,FALSE)</f>
        <v>4080</v>
      </c>
      <c r="H13" s="2"/>
    </row>
    <row r="14" spans="1:14" x14ac:dyDescent="0.2">
      <c r="A14">
        <v>256</v>
      </c>
      <c r="B14">
        <v>4</v>
      </c>
      <c r="C14" t="s">
        <v>66</v>
      </c>
      <c r="D14">
        <v>108</v>
      </c>
      <c r="E14">
        <v>12</v>
      </c>
      <c r="F14">
        <f>بيان_اللوط[[#This Row],[عدد الباليتات]]*بيان_اللوط[[#This Row],[عدد الشكاير]]</f>
        <v>432</v>
      </c>
      <c r="G14" s="2">
        <f xml:space="preserve"> بيان_اللوط[[#This Row],[عدد الباليتات]]* VLOOKUP(بيان_اللوط[نوع الباليته],Table21[],2,FALSE)</f>
        <v>1064</v>
      </c>
      <c r="H14" s="2"/>
    </row>
    <row r="15" spans="1:14" x14ac:dyDescent="0.2">
      <c r="A15">
        <v>257</v>
      </c>
      <c r="B15">
        <v>17</v>
      </c>
      <c r="C15" t="s">
        <v>63</v>
      </c>
      <c r="D15">
        <v>108</v>
      </c>
      <c r="E15">
        <v>12</v>
      </c>
      <c r="F15">
        <f>بيان_اللوط[[#This Row],[عدد الباليتات]]*بيان_اللوط[[#This Row],[عدد الشكاير]]</f>
        <v>1836</v>
      </c>
      <c r="G15" s="2">
        <f xml:space="preserve"> بيان_اللوط[[#This Row],[عدد الباليتات]]* VLOOKUP(بيان_اللوط[نوع الباليته],Table21[],2,FALSE)</f>
        <v>4080</v>
      </c>
      <c r="H15" s="2"/>
    </row>
    <row r="16" spans="1:14" x14ac:dyDescent="0.2">
      <c r="A16">
        <v>257</v>
      </c>
      <c r="B16">
        <v>4</v>
      </c>
      <c r="C16" t="s">
        <v>66</v>
      </c>
      <c r="D16">
        <v>108</v>
      </c>
      <c r="E16">
        <v>12</v>
      </c>
      <c r="F16">
        <f>بيان_اللوط[[#This Row],[عدد الباليتات]]*بيان_اللوط[[#This Row],[عدد الشكاير]]</f>
        <v>432</v>
      </c>
      <c r="G16" s="2">
        <f xml:space="preserve"> بيان_اللوط[[#This Row],[عدد الباليتات]]* VLOOKUP(بيان_اللوط[نوع الباليته],Table21[],2,FALSE)</f>
        <v>1064</v>
      </c>
      <c r="H16" s="2"/>
    </row>
  </sheetData>
  <dataValidations count="2">
    <dataValidation type="list" allowBlank="1" showInputMessage="1" showErrorMessage="1" sqref="J2:J12 A2:A16" xr:uid="{902CE1CA-A26E-48EF-9FAA-65139FDCDC81}">
      <formula1>loat_number</formula1>
    </dataValidation>
    <dataValidation type="list" allowBlank="1" showInputMessage="1" showErrorMessage="1" sqref="E2:E16" xr:uid="{2305D97A-4748-4841-BB09-7D0216109EEB}">
      <formula1>pag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B7C75E-7CB2-46F4-8E71-6A658693DA7D}">
          <x14:formula1>
            <xm:f>'قاعدة بيانات'!$C$2:$C$3</xm:f>
          </x14:formula1>
          <xm:sqref>C2:C16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B814-C409-4624-9CB0-A6378641FA75}">
  <sheetPr codeName="Sheet8"/>
  <dimension ref="A3:G12"/>
  <sheetViews>
    <sheetView rightToLeft="1" zoomScale="164" workbookViewId="0">
      <selection activeCell="D11" sqref="D11"/>
    </sheetView>
  </sheetViews>
  <sheetFormatPr defaultRowHeight="14.25" x14ac:dyDescent="0.2"/>
  <sheetData>
    <row r="3" spans="1:7" x14ac:dyDescent="0.2">
      <c r="A3" t="s">
        <v>2</v>
      </c>
      <c r="B3" t="s">
        <v>58</v>
      </c>
      <c r="C3" t="s">
        <v>45</v>
      </c>
      <c r="D3" t="s">
        <v>13</v>
      </c>
      <c r="F3" t="s">
        <v>2</v>
      </c>
      <c r="G3" t="s">
        <v>21</v>
      </c>
    </row>
    <row r="4" spans="1:7" x14ac:dyDescent="0.2">
      <c r="A4" t="s">
        <v>47</v>
      </c>
      <c r="B4">
        <v>251</v>
      </c>
      <c r="C4" t="str">
        <f>VLOOKUP(Table1[[رقم اللوط ]],الصادر[[رقم اللوط]:[الوزن الصافي]],4,FALSE)</f>
        <v>1236/4569</v>
      </c>
      <c r="D4" t="e">
        <f>(Table1[[#This Row],[الوزن]]-1)*110</f>
        <v>#VALUE!</v>
      </c>
      <c r="F4" t="s">
        <v>47</v>
      </c>
      <c r="G4">
        <v>5000</v>
      </c>
    </row>
    <row r="5" spans="1:7" x14ac:dyDescent="0.2">
      <c r="A5" t="s">
        <v>47</v>
      </c>
      <c r="B5">
        <v>252</v>
      </c>
      <c r="C5" t="str">
        <f>VLOOKUP(Table1[[رقم اللوط ]],الصادر[[رقم اللوط]:[الوزن الصافي]],4,FALSE)</f>
        <v>1254/2563</v>
      </c>
      <c r="D5" t="e">
        <f>(Table1[[#This Row],[الوزن]]-1)*110</f>
        <v>#VALUE!</v>
      </c>
      <c r="F5" t="s">
        <v>49</v>
      </c>
      <c r="G5">
        <v>2000</v>
      </c>
    </row>
    <row r="6" spans="1:7" x14ac:dyDescent="0.2">
      <c r="A6" t="s">
        <v>51</v>
      </c>
      <c r="B6">
        <v>253</v>
      </c>
      <c r="C6" t="str">
        <f>VLOOKUP(Table1[[رقم اللوط ]],الصادر[[رقم اللوط]:[الوزن الصافي]],4,FALSE)</f>
        <v>7854/8956</v>
      </c>
      <c r="D6" t="e">
        <f>(Table1[[#This Row],[الوزن]]-1)*110</f>
        <v>#VALUE!</v>
      </c>
      <c r="F6" t="s">
        <v>51</v>
      </c>
      <c r="G6">
        <v>1000</v>
      </c>
    </row>
    <row r="7" spans="1:7" x14ac:dyDescent="0.2">
      <c r="A7" t="s">
        <v>52</v>
      </c>
      <c r="B7">
        <v>254</v>
      </c>
      <c r="C7" t="str">
        <f>VLOOKUP(Table1[[رقم اللوط ]],الصادر[[رقم اللوط]:[الوزن الصافي]],4,FALSE)</f>
        <v>1452/3652</v>
      </c>
      <c r="D7" t="e">
        <f>(Table1[[#This Row],[الوزن]]-1)*110</f>
        <v>#VALUE!</v>
      </c>
      <c r="F7" t="s">
        <v>13</v>
      </c>
      <c r="G7">
        <f>SUM(Table11[المبلغ])</f>
        <v>8000</v>
      </c>
    </row>
    <row r="8" spans="1:7" x14ac:dyDescent="0.2">
      <c r="A8" t="s">
        <v>53</v>
      </c>
      <c r="B8">
        <v>255</v>
      </c>
      <c r="C8" t="str">
        <f>VLOOKUP(Table1[[رقم اللوط ]],الصادر[[رقم اللوط]:[الوزن الصافي]],4,FALSE)</f>
        <v>1254/8965</v>
      </c>
      <c r="D8" t="e">
        <f>(Table1[[#This Row],[الوزن]]-1)*110</f>
        <v>#VALUE!</v>
      </c>
      <c r="F8" t="s">
        <v>46</v>
      </c>
      <c r="G8" t="e">
        <f>Table1[[#Totals],[الاجمالي]]-Table11[[#Totals],[المبلغ]]</f>
        <v>#VALUE!</v>
      </c>
    </row>
    <row r="9" spans="1:7" x14ac:dyDescent="0.2">
      <c r="A9" t="s">
        <v>77</v>
      </c>
      <c r="B9">
        <v>256</v>
      </c>
      <c r="C9" t="str">
        <f>VLOOKUP(Table1[[رقم اللوط ]],الصادر[[رقم اللوط]:[الوزن الصافي]],4,FALSE)</f>
        <v>1254/895</v>
      </c>
      <c r="D9" t="e">
        <f>(Table1[[#This Row],[الوزن]]-1)*110</f>
        <v>#VALUE!</v>
      </c>
    </row>
    <row r="10" spans="1:7" x14ac:dyDescent="0.2">
      <c r="A10" t="s">
        <v>84</v>
      </c>
      <c r="B10">
        <v>257</v>
      </c>
      <c r="C10" s="2" t="str">
        <f>VLOOKUP(Table1[[رقم اللوط ]],الصادر[[رقم اللوط]:[الوزن الصافي]],4,FALSE)</f>
        <v>7854/96321</v>
      </c>
      <c r="D10" s="2" t="e">
        <f>(Table1[[#This Row],[الوزن]]-1)*110</f>
        <v>#VALUE!</v>
      </c>
    </row>
    <row r="11" spans="1:7" x14ac:dyDescent="0.2">
      <c r="A11" t="s">
        <v>90</v>
      </c>
      <c r="B11">
        <v>255</v>
      </c>
      <c r="C11" s="2" t="str">
        <f>VLOOKUP(Table1[[رقم اللوط ]],الصادر[[رقم اللوط]:[الوزن الصافي]],4,FALSE)</f>
        <v>1254/8965</v>
      </c>
      <c r="D11" s="2" t="e">
        <f>(Table1[[#This Row],[الوزن]]-1)*110</f>
        <v>#VALUE!</v>
      </c>
    </row>
    <row r="12" spans="1:7" x14ac:dyDescent="0.2">
      <c r="D12" t="e">
        <f>SUM(Table1[الاجمالي])</f>
        <v>#VALUE!</v>
      </c>
    </row>
  </sheetData>
  <dataValidations count="1">
    <dataValidation type="list" allowBlank="1" showInputMessage="1" showErrorMessage="1" sqref="B4:B11" xr:uid="{D1BAFDFF-FB87-4AB3-B35F-13EC33D69FA1}">
      <formula1>loat_number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85D8A-7AAF-4807-B6F9-C0E75C347847}">
  <sheetPr codeName="Sheet9"/>
  <dimension ref="A1:G9"/>
  <sheetViews>
    <sheetView rightToLeft="1" zoomScale="163" workbookViewId="0">
      <selection activeCell="I13" sqref="I13"/>
    </sheetView>
  </sheetViews>
  <sheetFormatPr defaultRowHeight="14.25" x14ac:dyDescent="0.2"/>
  <cols>
    <col min="3" max="3" width="10.875" bestFit="1" customWidth="1"/>
    <col min="4" max="4" width="8.125" bestFit="1" customWidth="1"/>
  </cols>
  <sheetData>
    <row r="1" spans="1:7" x14ac:dyDescent="0.2">
      <c r="A1" t="s">
        <v>2</v>
      </c>
      <c r="B1" t="s">
        <v>22</v>
      </c>
      <c r="C1" t="s">
        <v>28</v>
      </c>
      <c r="D1" t="s">
        <v>13</v>
      </c>
      <c r="F1" t="s">
        <v>2</v>
      </c>
      <c r="G1" t="s">
        <v>21</v>
      </c>
    </row>
    <row r="2" spans="1:7" x14ac:dyDescent="0.2">
      <c r="A2" t="s">
        <v>47</v>
      </c>
      <c r="B2">
        <v>251</v>
      </c>
      <c r="C2">
        <f>VLOOKUP(بيان_الرص[رقم اللوط],'بيان الصادر'!A1:I7,6,FALSE)</f>
        <v>20</v>
      </c>
      <c r="D2">
        <f>بيان_الرص[[#This Row],[عدد الباليتات]]*25</f>
        <v>500</v>
      </c>
      <c r="F2" t="s">
        <v>47</v>
      </c>
      <c r="G2">
        <v>1000</v>
      </c>
    </row>
    <row r="3" spans="1:7" x14ac:dyDescent="0.2">
      <c r="A3" t="s">
        <v>49</v>
      </c>
      <c r="B3">
        <v>252</v>
      </c>
      <c r="C3">
        <f>VLOOKUP(بيان_الرص[رقم اللوط],'بيان الصادر'!A2:I8,6,FALSE)</f>
        <v>21</v>
      </c>
      <c r="D3">
        <f>بيان_الرص[[#This Row],[عدد الباليتات]]*25</f>
        <v>525</v>
      </c>
      <c r="F3" t="s">
        <v>51</v>
      </c>
      <c r="G3">
        <v>500</v>
      </c>
    </row>
    <row r="4" spans="1:7" x14ac:dyDescent="0.2">
      <c r="A4" t="s">
        <v>51</v>
      </c>
      <c r="B4">
        <v>253</v>
      </c>
      <c r="C4" s="2" t="e">
        <f>VLOOKUP(بيان_الرص[رقم اللوط],'بيان الصادر'!D3:I9,6,FALSE)</f>
        <v>#N/A</v>
      </c>
      <c r="D4" t="e">
        <f>بيان_الرص[[#This Row],[عدد الباليتات]]*25</f>
        <v>#N/A</v>
      </c>
      <c r="F4" t="s">
        <v>13</v>
      </c>
      <c r="G4">
        <f>SUM(Table13[المبلغ])</f>
        <v>1500</v>
      </c>
    </row>
    <row r="5" spans="1:7" x14ac:dyDescent="0.2">
      <c r="A5" t="s">
        <v>52</v>
      </c>
      <c r="B5">
        <v>254</v>
      </c>
      <c r="C5" s="2" t="e">
        <f>VLOOKUP(بيان_الرص[رقم اللوط],'بيان الصادر'!D4:I10,6,FALSE)</f>
        <v>#N/A</v>
      </c>
      <c r="D5" t="e">
        <f>بيان_الرص[[#This Row],[عدد الباليتات]]*25</f>
        <v>#N/A</v>
      </c>
      <c r="F5" t="s">
        <v>46</v>
      </c>
      <c r="G5" t="e">
        <f>بيان_الرص[[#Totals],[الاجمالي]]-Table13[[#Totals],[المبلغ]]</f>
        <v>#N/A</v>
      </c>
    </row>
    <row r="6" spans="1:7" x14ac:dyDescent="0.2">
      <c r="A6" t="s">
        <v>68</v>
      </c>
      <c r="B6">
        <v>255</v>
      </c>
      <c r="C6" s="2" t="e">
        <f>VLOOKUP(بيان_الرص[رقم اللوط],'بيان الصادر'!D5:I11,6,FALSE)</f>
        <v>#N/A</v>
      </c>
      <c r="D6" t="e">
        <f>بيان_الرص[[#This Row],[عدد الباليتات]]*25</f>
        <v>#N/A</v>
      </c>
    </row>
    <row r="7" spans="1:7" x14ac:dyDescent="0.2">
      <c r="A7" t="s">
        <v>78</v>
      </c>
      <c r="B7">
        <v>256</v>
      </c>
      <c r="C7" s="2" t="e">
        <f>VLOOKUP(بيان_الرص[رقم اللوط],'بيان الصادر'!D6:I12,6,FALSE)</f>
        <v>#N/A</v>
      </c>
      <c r="D7" t="e">
        <f>بيان_الرص[[#This Row],[عدد الباليتات]]*25</f>
        <v>#N/A</v>
      </c>
    </row>
    <row r="8" spans="1:7" x14ac:dyDescent="0.2">
      <c r="A8" t="s">
        <v>85</v>
      </c>
      <c r="B8">
        <v>257</v>
      </c>
      <c r="C8" s="2" t="e">
        <f>VLOOKUP(بيان_الرص[رقم اللوط],'بيان الصادر'!D7:I14,6,FALSE)</f>
        <v>#N/A</v>
      </c>
      <c r="D8" t="e">
        <f>بيان_الرص[[#This Row],[عدد الباليتات]]*25</f>
        <v>#N/A</v>
      </c>
    </row>
    <row r="9" spans="1:7" x14ac:dyDescent="0.2">
      <c r="D9" t="e">
        <f>SUM(بيان_الرص[الاجمالي])</f>
        <v>#N/A</v>
      </c>
    </row>
  </sheetData>
  <dataValidations count="1">
    <dataValidation type="list" allowBlank="1" showInputMessage="1" showErrorMessage="1" sqref="B2:B8" xr:uid="{C0B61315-9D82-46FE-A0A8-DE41CD0917AC}">
      <formula1>loat_number</formula1>
    </dataValidation>
  </dataValidation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p q U z V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K a l M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p T N X K I p H u A 4 A A A A R A A A A E w A c A E Z v c m 1 1 b G F z L 1 N l Y 3 R p b 2 4 x L m 0 g o h g A K K A U A A A A A A A A A A A A A A A A A A A A A A A A A A A A K 0 5 N L s n M z 1 M I h t C G 1 g B Q S w E C L Q A U A A I A C A C m p T N X f M L S 3 K g A A A D 5 A A A A E g A A A A A A A A A A A A A A A A A A A A A A Q 2 9 u Z m l n L 1 B h Y 2 t h Z 2 U u e G 1 s U E s B A i 0 A F A A C A A g A p q U z V w / K 6 a u k A A A A 6 Q A A A B M A A A A A A A A A A A A A A A A A 9 A A A A F t D b 2 5 0 Z W 5 0 X 1 R 5 c G V z X S 5 4 b W x Q S w E C L Q A U A A I A C A C m p T N X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P K R n e 0 l r U + Y X j w t B M a s V Q A A A A A C A A A A A A A Q Z g A A A A E A A C A A A A D b V V f A s E H n B y f Q O 0 1 m O R L 3 / Z b 5 b Z t Z m z P b 8 S l r I B 1 r 0 w A A A A A O g A A A A A I A A C A A A A D J I K I C + 3 Y l / t B 6 3 b r d 6 i c x P 1 E O x m V p g v 0 A d u W w Q f A y c l A A A A B w L V s 2 l j P h W + x 7 Y M r 2 A r W 9 I m k z 8 H f Q O z T k 7 7 R j + Y j c + 4 w n N o H K m R R 2 h N S 8 U 5 O B s E T w C g 5 e 1 k D B O n R w Q S 5 A e Z / J Q Q K W 2 f J w 5 L y i u i C m / h H 4 c 0 A A A A D n R Z f R P K S 5 h t 8 + v 0 w Z s t U D T f V n k L k q d + y k + H 4 D V s H V 6 h v L T W n i 2 n L o D g 1 o A U o 4 f D t 7 A a 7 p 8 3 C r 7 M A l P j x m o B d t < / D a t a M a s h u p > 
</file>

<file path=customXml/itemProps1.xml><?xml version="1.0" encoding="utf-8"?>
<ds:datastoreItem xmlns:ds="http://schemas.openxmlformats.org/officeDocument/2006/customXml" ds:itemID="{6521A9B7-5388-40EE-878D-33AF1DC42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الصفحه الرئيسيه</vt:lpstr>
      <vt:lpstr>الموردين</vt:lpstr>
      <vt:lpstr>حسن الالفي</vt:lpstr>
      <vt:lpstr>النقديه</vt:lpstr>
      <vt:lpstr>عماد الخرادلي</vt:lpstr>
      <vt:lpstr>بيان الصادر</vt:lpstr>
      <vt:lpstr>بيان اللوط</vt:lpstr>
      <vt:lpstr>بيان فرز وتعبئه</vt:lpstr>
      <vt:lpstr>بيان رص</vt:lpstr>
      <vt:lpstr>بيان خياطه</vt:lpstr>
      <vt:lpstr>بيان مصاريف الجان</vt:lpstr>
      <vt:lpstr>قاعدة بيانات</vt:lpstr>
      <vt:lpstr>العملاء</vt:lpstr>
      <vt:lpstr>بيان الشكاير</vt:lpstr>
      <vt:lpstr>بيان الباليتات</vt:lpstr>
      <vt:lpstr>بيان الشريط</vt:lpstr>
      <vt:lpstr>loat_number</vt:lpstr>
      <vt:lpstr>pag</vt:lpstr>
      <vt:lpstr>permisions</vt:lpstr>
      <vt:lpstr>supplier_name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2023-09-26T11:16:41Z</dcterms:modified>
</cp:coreProperties>
</file>