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abdul_ajhari_binus_ac_id/Documents/"/>
    </mc:Choice>
  </mc:AlternateContent>
  <xr:revisionPtr revIDLastSave="743" documentId="8_{1839D040-C296-4DA7-9C77-E9683B534B46}" xr6:coauthVersionLast="46" xr6:coauthVersionMax="46" xr10:uidLastSave="{CA4CDA62-7E77-43E8-A00C-6D442EA9CE4F}"/>
  <bookViews>
    <workbookView xWindow="-110" yWindow="-110" windowWidth="19420" windowHeight="10420" activeTab="3" xr2:uid="{7537BB94-7496-4946-99F7-DE0A7298C7F5}"/>
  </bookViews>
  <sheets>
    <sheet name="Data" sheetId="1" r:id="rId1"/>
    <sheet name="Data (2)" sheetId="2" r:id="rId2"/>
    <sheet name="Lookup untuk Perh Conf" sheetId="4" r:id="rId3"/>
    <sheet name="Hitung Conf" sheetId="3" r:id="rId4"/>
    <sheet name="Hitung Conf (2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7" l="1"/>
  <c r="E22" i="7"/>
  <c r="D22" i="7"/>
  <c r="G22" i="7" s="1"/>
  <c r="F21" i="7"/>
  <c r="E21" i="7"/>
  <c r="D21" i="7"/>
  <c r="F37" i="7"/>
  <c r="E37" i="7"/>
  <c r="D37" i="7"/>
  <c r="F52" i="7"/>
  <c r="E52" i="7"/>
  <c r="D52" i="7"/>
  <c r="F36" i="7"/>
  <c r="E36" i="7"/>
  <c r="D36" i="7"/>
  <c r="G36" i="7" s="1"/>
  <c r="F51" i="7"/>
  <c r="E51" i="7"/>
  <c r="D51" i="7"/>
  <c r="G51" i="7" s="1"/>
  <c r="F35" i="7"/>
  <c r="E35" i="7"/>
  <c r="D35" i="7"/>
  <c r="G35" i="7" s="1"/>
  <c r="I35" i="7" s="1"/>
  <c r="F50" i="7"/>
  <c r="E50" i="7"/>
  <c r="D50" i="7"/>
  <c r="G50" i="7" s="1"/>
  <c r="F34" i="7"/>
  <c r="E34" i="7"/>
  <c r="D34" i="7"/>
  <c r="F49" i="7"/>
  <c r="E49" i="7"/>
  <c r="D49" i="7"/>
  <c r="F20" i="7"/>
  <c r="E20" i="7"/>
  <c r="D20" i="7"/>
  <c r="F19" i="7"/>
  <c r="E19" i="7"/>
  <c r="D19" i="7"/>
  <c r="F48" i="7"/>
  <c r="E48" i="7"/>
  <c r="D48" i="7"/>
  <c r="F33" i="7"/>
  <c r="E33" i="7"/>
  <c r="D33" i="7"/>
  <c r="G33" i="7" s="1"/>
  <c r="F32" i="7"/>
  <c r="E32" i="7"/>
  <c r="D32" i="7"/>
  <c r="G32" i="7" s="1"/>
  <c r="I32" i="7" s="1"/>
  <c r="F18" i="7"/>
  <c r="E18" i="7"/>
  <c r="D18" i="7"/>
  <c r="G18" i="7" s="1"/>
  <c r="F31" i="7"/>
  <c r="E31" i="7"/>
  <c r="D31" i="7"/>
  <c r="F17" i="7"/>
  <c r="E17" i="7"/>
  <c r="D17" i="7"/>
  <c r="F47" i="7"/>
  <c r="E47" i="7"/>
  <c r="D47" i="7"/>
  <c r="F30" i="7"/>
  <c r="E30" i="7"/>
  <c r="D30" i="7"/>
  <c r="F29" i="7"/>
  <c r="E29" i="7"/>
  <c r="D29" i="7"/>
  <c r="F16" i="7"/>
  <c r="E16" i="7"/>
  <c r="D16" i="7"/>
  <c r="G16" i="7" s="1"/>
  <c r="F28" i="7"/>
  <c r="E28" i="7"/>
  <c r="D28" i="7"/>
  <c r="G28" i="7" s="1"/>
  <c r="I28" i="7" s="1"/>
  <c r="F15" i="7"/>
  <c r="E15" i="7"/>
  <c r="D15" i="7"/>
  <c r="F46" i="7"/>
  <c r="E46" i="7"/>
  <c r="D46" i="7"/>
  <c r="F14" i="7"/>
  <c r="E14" i="7"/>
  <c r="D14" i="7"/>
  <c r="F45" i="7"/>
  <c r="E45" i="7"/>
  <c r="D45" i="7"/>
  <c r="G45" i="7" s="1"/>
  <c r="I45" i="7" s="1"/>
  <c r="F13" i="7"/>
  <c r="E13" i="7"/>
  <c r="D13" i="7"/>
  <c r="F27" i="7"/>
  <c r="E27" i="7"/>
  <c r="D27" i="7"/>
  <c r="G27" i="7" s="1"/>
  <c r="F44" i="7"/>
  <c r="E44" i="7"/>
  <c r="D44" i="7"/>
  <c r="F43" i="7"/>
  <c r="E43" i="7"/>
  <c r="D43" i="7"/>
  <c r="G43" i="7" s="1"/>
  <c r="I43" i="7" s="1"/>
  <c r="F12" i="7"/>
  <c r="E12" i="7"/>
  <c r="D12" i="7"/>
  <c r="F42" i="7"/>
  <c r="E42" i="7"/>
  <c r="D42" i="7"/>
  <c r="F11" i="7"/>
  <c r="E11" i="7"/>
  <c r="D11" i="7"/>
  <c r="F26" i="7"/>
  <c r="E26" i="7"/>
  <c r="D26" i="7"/>
  <c r="F41" i="7"/>
  <c r="E41" i="7"/>
  <c r="D41" i="7"/>
  <c r="F10" i="7"/>
  <c r="E10" i="7"/>
  <c r="D10" i="7"/>
  <c r="G10" i="7" s="1"/>
  <c r="F9" i="7"/>
  <c r="E9" i="7"/>
  <c r="D9" i="7"/>
  <c r="F8" i="7"/>
  <c r="E8" i="7"/>
  <c r="D8" i="7"/>
  <c r="G8" i="7" s="1"/>
  <c r="I8" i="7" s="1"/>
  <c r="F7" i="7"/>
  <c r="E7" i="7"/>
  <c r="D7" i="7"/>
  <c r="F25" i="7"/>
  <c r="E25" i="7"/>
  <c r="D25" i="7"/>
  <c r="G25" i="7" s="1"/>
  <c r="F40" i="7"/>
  <c r="E40" i="7"/>
  <c r="D40" i="7"/>
  <c r="G39" i="7"/>
  <c r="I39" i="7" s="1"/>
  <c r="F39" i="7"/>
  <c r="E39" i="7"/>
  <c r="D39" i="7"/>
  <c r="F38" i="7"/>
  <c r="E38" i="7"/>
  <c r="D38" i="7"/>
  <c r="G38" i="7" s="1"/>
  <c r="F24" i="7"/>
  <c r="E24" i="7"/>
  <c r="D24" i="7"/>
  <c r="F23" i="7"/>
  <c r="E23" i="7"/>
  <c r="D23" i="7"/>
  <c r="G23" i="7" s="1"/>
  <c r="F6" i="7"/>
  <c r="E6" i="7"/>
  <c r="D6" i="7"/>
  <c r="F5" i="7"/>
  <c r="E5" i="7"/>
  <c r="D5" i="7"/>
  <c r="G5" i="7" s="1"/>
  <c r="F4" i="7"/>
  <c r="E4" i="7"/>
  <c r="D4" i="7"/>
  <c r="G4" i="7" s="1"/>
  <c r="F3" i="7"/>
  <c r="E3" i="7"/>
  <c r="D3" i="7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K3" i="3"/>
  <c r="J3" i="3"/>
  <c r="M50" i="3"/>
  <c r="O50" i="3" s="1"/>
  <c r="I5" i="4"/>
  <c r="H5" i="4"/>
  <c r="G5" i="4"/>
  <c r="F5" i="4"/>
  <c r="E5" i="4"/>
  <c r="D5" i="4"/>
  <c r="C5" i="4"/>
  <c r="I4" i="4"/>
  <c r="H4" i="4"/>
  <c r="G4" i="4"/>
  <c r="F4" i="4"/>
  <c r="E4" i="4"/>
  <c r="D4" i="4"/>
  <c r="C4" i="4"/>
  <c r="I3" i="4"/>
  <c r="H3" i="4"/>
  <c r="G3" i="4"/>
  <c r="F3" i="4"/>
  <c r="E3" i="4"/>
  <c r="D3" i="4"/>
  <c r="C3" i="4"/>
  <c r="I2" i="4"/>
  <c r="H2" i="4"/>
  <c r="G2" i="4"/>
  <c r="F2" i="4"/>
  <c r="E2" i="4"/>
  <c r="D2" i="4"/>
  <c r="C2" i="4"/>
  <c r="O38" i="2"/>
  <c r="M38" i="2"/>
  <c r="O30" i="2"/>
  <c r="O31" i="2"/>
  <c r="O32" i="2"/>
  <c r="O29" i="2"/>
  <c r="M32" i="2"/>
  <c r="M31" i="2"/>
  <c r="M30" i="2"/>
  <c r="M29" i="2"/>
  <c r="O23" i="2"/>
  <c r="O22" i="2"/>
  <c r="O21" i="2"/>
  <c r="O20" i="2"/>
  <c r="O19" i="2"/>
  <c r="O18" i="2"/>
  <c r="M18" i="2"/>
  <c r="M19" i="2"/>
  <c r="M20" i="2"/>
  <c r="M21" i="2"/>
  <c r="M22" i="2"/>
  <c r="M23" i="2"/>
  <c r="M12" i="2"/>
  <c r="M11" i="2"/>
  <c r="M10" i="2"/>
  <c r="M9" i="2"/>
  <c r="M8" i="2"/>
  <c r="M7" i="2"/>
  <c r="M6" i="2"/>
  <c r="A11" i="2"/>
  <c r="I10" i="2"/>
  <c r="H10" i="2"/>
  <c r="G10" i="2"/>
  <c r="F10" i="2"/>
  <c r="E10" i="2"/>
  <c r="D10" i="2"/>
  <c r="C10" i="2"/>
  <c r="I9" i="2"/>
  <c r="H9" i="2"/>
  <c r="G9" i="2"/>
  <c r="F9" i="2"/>
  <c r="E9" i="2"/>
  <c r="D9" i="2"/>
  <c r="C9" i="2"/>
  <c r="I8" i="2"/>
  <c r="H8" i="2"/>
  <c r="G8" i="2"/>
  <c r="F8" i="2"/>
  <c r="E8" i="2"/>
  <c r="D8" i="2"/>
  <c r="C8" i="2"/>
  <c r="I7" i="2"/>
  <c r="H7" i="2"/>
  <c r="G7" i="2"/>
  <c r="F7" i="2"/>
  <c r="E7" i="2"/>
  <c r="D7" i="2"/>
  <c r="C7" i="2"/>
  <c r="I6" i="2"/>
  <c r="H6" i="2"/>
  <c r="G6" i="2"/>
  <c r="F6" i="2"/>
  <c r="E6" i="2"/>
  <c r="D6" i="2"/>
  <c r="C6" i="2"/>
  <c r="A10" i="1"/>
  <c r="I5" i="1"/>
  <c r="I6" i="1"/>
  <c r="I7" i="1"/>
  <c r="I8" i="1"/>
  <c r="I9" i="1"/>
  <c r="H5" i="1"/>
  <c r="H6" i="1"/>
  <c r="H7" i="1"/>
  <c r="H8" i="1"/>
  <c r="H9" i="1"/>
  <c r="G5" i="1"/>
  <c r="G6" i="1"/>
  <c r="G7" i="1"/>
  <c r="G8" i="1"/>
  <c r="G9" i="1"/>
  <c r="F5" i="1"/>
  <c r="F6" i="1"/>
  <c r="F7" i="1"/>
  <c r="F8" i="1"/>
  <c r="F9" i="1"/>
  <c r="E5" i="1"/>
  <c r="E6" i="1"/>
  <c r="E7" i="1"/>
  <c r="E8" i="1"/>
  <c r="E9" i="1"/>
  <c r="D5" i="1"/>
  <c r="D6" i="1"/>
  <c r="D7" i="1"/>
  <c r="D8" i="1"/>
  <c r="D9" i="1"/>
  <c r="C5" i="1"/>
  <c r="C6" i="1"/>
  <c r="C7" i="1"/>
  <c r="C8" i="1"/>
  <c r="C9" i="1"/>
  <c r="G6" i="7" l="1"/>
  <c r="I6" i="7" s="1"/>
  <c r="G40" i="7"/>
  <c r="G11" i="7"/>
  <c r="G14" i="7"/>
  <c r="G29" i="7"/>
  <c r="I29" i="7" s="1"/>
  <c r="G48" i="7"/>
  <c r="G17" i="7"/>
  <c r="I17" i="7" s="1"/>
  <c r="G49" i="7"/>
  <c r="H49" i="7" s="1"/>
  <c r="G21" i="7"/>
  <c r="G19" i="7"/>
  <c r="G52" i="7"/>
  <c r="G9" i="7"/>
  <c r="G31" i="7"/>
  <c r="H31" i="7" s="1"/>
  <c r="G26" i="7"/>
  <c r="I26" i="7" s="1"/>
  <c r="G12" i="7"/>
  <c r="H12" i="7" s="1"/>
  <c r="G47" i="7"/>
  <c r="I47" i="7" s="1"/>
  <c r="G20" i="7"/>
  <c r="I20" i="7" s="1"/>
  <c r="G37" i="7"/>
  <c r="I37" i="7" s="1"/>
  <c r="G15" i="7"/>
  <c r="H15" i="7" s="1"/>
  <c r="G41" i="7"/>
  <c r="H41" i="7" s="1"/>
  <c r="G34" i="7"/>
  <c r="I34" i="7" s="1"/>
  <c r="G42" i="7"/>
  <c r="G13" i="7"/>
  <c r="H13" i="7" s="1"/>
  <c r="G3" i="7"/>
  <c r="H3" i="7" s="1"/>
  <c r="G24" i="7"/>
  <c r="I24" i="7" s="1"/>
  <c r="G7" i="7"/>
  <c r="H7" i="7" s="1"/>
  <c r="G44" i="7"/>
  <c r="I44" i="7" s="1"/>
  <c r="G46" i="7"/>
  <c r="I46" i="7" s="1"/>
  <c r="G30" i="7"/>
  <c r="H30" i="7" s="1"/>
  <c r="I40" i="7"/>
  <c r="H40" i="7"/>
  <c r="I12" i="7"/>
  <c r="I4" i="7"/>
  <c r="H4" i="7"/>
  <c r="I16" i="7"/>
  <c r="H16" i="7"/>
  <c r="I19" i="7"/>
  <c r="H19" i="7"/>
  <c r="I11" i="7"/>
  <c r="H11" i="7"/>
  <c r="I27" i="7"/>
  <c r="H27" i="7"/>
  <c r="I15" i="7"/>
  <c r="H21" i="7"/>
  <c r="I21" i="7"/>
  <c r="I23" i="7"/>
  <c r="H23" i="7"/>
  <c r="I25" i="7"/>
  <c r="H25" i="7"/>
  <c r="I33" i="7"/>
  <c r="H33" i="7"/>
  <c r="I52" i="7"/>
  <c r="H52" i="7"/>
  <c r="H38" i="7"/>
  <c r="I38" i="7"/>
  <c r="I41" i="7"/>
  <c r="H5" i="7"/>
  <c r="I5" i="7"/>
  <c r="H14" i="7"/>
  <c r="I14" i="7"/>
  <c r="I18" i="7"/>
  <c r="H18" i="7"/>
  <c r="I36" i="7"/>
  <c r="H36" i="7"/>
  <c r="I9" i="7"/>
  <c r="H9" i="7"/>
  <c r="I42" i="7"/>
  <c r="H42" i="7"/>
  <c r="I13" i="7"/>
  <c r="I51" i="7"/>
  <c r="H51" i="7"/>
  <c r="I22" i="7"/>
  <c r="H22" i="7"/>
  <c r="H24" i="7"/>
  <c r="I7" i="7"/>
  <c r="H17" i="7"/>
  <c r="I48" i="7"/>
  <c r="H48" i="7"/>
  <c r="I50" i="7"/>
  <c r="H50" i="7"/>
  <c r="I10" i="7"/>
  <c r="H10" i="7"/>
  <c r="H44" i="7"/>
  <c r="H39" i="7"/>
  <c r="H8" i="7"/>
  <c r="H26" i="7"/>
  <c r="H43" i="7"/>
  <c r="H45" i="7"/>
  <c r="H28" i="7"/>
  <c r="H32" i="7"/>
  <c r="H20" i="7"/>
  <c r="H35" i="7"/>
  <c r="H37" i="7"/>
  <c r="H6" i="7"/>
  <c r="M30" i="3"/>
  <c r="O30" i="3" s="1"/>
  <c r="M32" i="3"/>
  <c r="O32" i="3" s="1"/>
  <c r="M6" i="3"/>
  <c r="O6" i="3" s="1"/>
  <c r="M14" i="3"/>
  <c r="O14" i="3" s="1"/>
  <c r="M22" i="3"/>
  <c r="O22" i="3" s="1"/>
  <c r="M38" i="3"/>
  <c r="O38" i="3" s="1"/>
  <c r="M46" i="3"/>
  <c r="O46" i="3" s="1"/>
  <c r="M8" i="3"/>
  <c r="O8" i="3" s="1"/>
  <c r="M48" i="3"/>
  <c r="O48" i="3" s="1"/>
  <c r="M9" i="3"/>
  <c r="O9" i="3" s="1"/>
  <c r="M25" i="3"/>
  <c r="O25" i="3" s="1"/>
  <c r="M49" i="3"/>
  <c r="O49" i="3" s="1"/>
  <c r="M26" i="3"/>
  <c r="O26" i="3" s="1"/>
  <c r="M10" i="3"/>
  <c r="O10" i="3" s="1"/>
  <c r="M18" i="3"/>
  <c r="O18" i="3" s="1"/>
  <c r="M34" i="3"/>
  <c r="O34" i="3" s="1"/>
  <c r="M42" i="3"/>
  <c r="O42" i="3" s="1"/>
  <c r="M4" i="3"/>
  <c r="O4" i="3" s="1"/>
  <c r="M12" i="3"/>
  <c r="O12" i="3" s="1"/>
  <c r="M20" i="3"/>
  <c r="O20" i="3" s="1"/>
  <c r="M28" i="3"/>
  <c r="O28" i="3" s="1"/>
  <c r="M36" i="3"/>
  <c r="O36" i="3" s="1"/>
  <c r="M44" i="3"/>
  <c r="O44" i="3" s="1"/>
  <c r="M52" i="3"/>
  <c r="O52" i="3" s="1"/>
  <c r="M5" i="3"/>
  <c r="O5" i="3" s="1"/>
  <c r="M13" i="3"/>
  <c r="O13" i="3" s="1"/>
  <c r="M21" i="3"/>
  <c r="O21" i="3" s="1"/>
  <c r="M29" i="3"/>
  <c r="O29" i="3" s="1"/>
  <c r="M37" i="3"/>
  <c r="O37" i="3" s="1"/>
  <c r="M45" i="3"/>
  <c r="O45" i="3" s="1"/>
  <c r="M16" i="3"/>
  <c r="O16" i="3" s="1"/>
  <c r="M24" i="3"/>
  <c r="O24" i="3" s="1"/>
  <c r="M40" i="3"/>
  <c r="O40" i="3" s="1"/>
  <c r="M17" i="3"/>
  <c r="O17" i="3" s="1"/>
  <c r="M33" i="3"/>
  <c r="O33" i="3" s="1"/>
  <c r="M41" i="3"/>
  <c r="O41" i="3" s="1"/>
  <c r="M7" i="3"/>
  <c r="O7" i="3" s="1"/>
  <c r="M15" i="3"/>
  <c r="O15" i="3" s="1"/>
  <c r="M23" i="3"/>
  <c r="O23" i="3" s="1"/>
  <c r="M31" i="3"/>
  <c r="O31" i="3" s="1"/>
  <c r="M39" i="3"/>
  <c r="O39" i="3" s="1"/>
  <c r="M47" i="3"/>
  <c r="O47" i="3" s="1"/>
  <c r="M3" i="3"/>
  <c r="M11" i="3"/>
  <c r="O11" i="3" s="1"/>
  <c r="M19" i="3"/>
  <c r="O19" i="3" s="1"/>
  <c r="M27" i="3"/>
  <c r="O27" i="3" s="1"/>
  <c r="M35" i="3"/>
  <c r="O35" i="3" s="1"/>
  <c r="M43" i="3"/>
  <c r="O43" i="3" s="1"/>
  <c r="M51" i="3"/>
  <c r="O51" i="3" s="1"/>
  <c r="N8" i="2"/>
  <c r="O8" i="2" s="1"/>
  <c r="F11" i="2"/>
  <c r="N10" i="2"/>
  <c r="O10" i="2" s="1"/>
  <c r="N6" i="2"/>
  <c r="O6" i="2" s="1"/>
  <c r="D11" i="2"/>
  <c r="N12" i="2"/>
  <c r="O12" i="2" s="1"/>
  <c r="N11" i="2"/>
  <c r="O11" i="2" s="1"/>
  <c r="N7" i="2"/>
  <c r="O7" i="2" s="1"/>
  <c r="I11" i="2"/>
  <c r="C11" i="2"/>
  <c r="N9" i="2"/>
  <c r="O9" i="2" s="1"/>
  <c r="G11" i="2"/>
  <c r="E11" i="2"/>
  <c r="H11" i="2"/>
  <c r="I10" i="1"/>
  <c r="D10" i="1"/>
  <c r="H10" i="1"/>
  <c r="G10" i="1"/>
  <c r="E10" i="1"/>
  <c r="F10" i="1"/>
  <c r="C10" i="1"/>
  <c r="I31" i="7" l="1"/>
  <c r="H29" i="7"/>
  <c r="H34" i="7"/>
  <c r="I49" i="7"/>
  <c r="I30" i="7"/>
  <c r="H46" i="7"/>
  <c r="H47" i="7"/>
  <c r="I3" i="7"/>
  <c r="O3" i="3"/>
</calcChain>
</file>

<file path=xl/sharedStrings.xml><?xml version="1.0" encoding="utf-8"?>
<sst xmlns="http://schemas.openxmlformats.org/spreadsheetml/2006/main" count="563" uniqueCount="51">
  <si>
    <t>T1</t>
  </si>
  <si>
    <t>pen, bread, butter</t>
  </si>
  <si>
    <t>T2</t>
  </si>
  <si>
    <t>bread, butter, egg, milk</t>
  </si>
  <si>
    <t>T3</t>
  </si>
  <si>
    <t>spinach, egg, milk</t>
  </si>
  <si>
    <t>T4</t>
  </si>
  <si>
    <t>bread, butter</t>
  </si>
  <si>
    <t>T5</t>
  </si>
  <si>
    <t>bread, butter, ketchup, egg, milk</t>
  </si>
  <si>
    <t>Transaction ID</t>
  </si>
  <si>
    <t>Items Bought</t>
  </si>
  <si>
    <t>pen</t>
  </si>
  <si>
    <t>bread</t>
  </si>
  <si>
    <t>spinach</t>
  </si>
  <si>
    <t>butter</t>
  </si>
  <si>
    <t>egg</t>
  </si>
  <si>
    <t>ketchup</t>
  </si>
  <si>
    <t>milk</t>
  </si>
  <si>
    <t>Item</t>
  </si>
  <si>
    <t>Support</t>
  </si>
  <si>
    <t>Support Count</t>
  </si>
  <si>
    <t>Helper Columns</t>
  </si>
  <si>
    <t>Generate C1</t>
  </si>
  <si>
    <t>No</t>
  </si>
  <si>
    <t>Itemset</t>
  </si>
  <si>
    <t>s = 28%</t>
  </si>
  <si>
    <t>Generate C2</t>
  </si>
  <si>
    <t>bread, egg</t>
  </si>
  <si>
    <t>bread, milk</t>
  </si>
  <si>
    <t>butter, egg</t>
  </si>
  <si>
    <t>butter, milk</t>
  </si>
  <si>
    <t>egg, milk</t>
  </si>
  <si>
    <t>|T| =</t>
  </si>
  <si>
    <t>bread, butter, egg</t>
  </si>
  <si>
    <t>bread, butter, milk</t>
  </si>
  <si>
    <t>bread, egg, milk</t>
  </si>
  <si>
    <t>butter, egg, milk</t>
  </si>
  <si>
    <t>Generate C3</t>
  </si>
  <si>
    <t>Generate C4</t>
  </si>
  <si>
    <t>OK</t>
  </si>
  <si>
    <t>Skip</t>
  </si>
  <si>
    <t>Confidence</t>
  </si>
  <si>
    <t>Confidence &gt;= Threshold</t>
  </si>
  <si>
    <t>LEFT Subset</t>
  </si>
  <si>
    <t>RIGHT Subset</t>
  </si>
  <si>
    <t>Lift</t>
  </si>
  <si>
    <t>Sup. Count Itemset</t>
  </si>
  <si>
    <t>Sup. Count - LEFT</t>
  </si>
  <si>
    <t>Support - RIGHT</t>
  </si>
  <si>
    <t>LOOK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</si>
</sst>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164" fontId="0" fillId="0" borderId="0" xfId="1" applyNumberFormat="1" applyFont="1" applyBorder="1"/>
    <xf numFmtId="10" fontId="0" fillId="0" borderId="0" xfId="2" applyNumberFormat="1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164" fontId="0" fillId="5" borderId="0" xfId="1" applyNumberFormat="1" applyFont="1" applyFill="1" applyBorder="1"/>
    <xf numFmtId="10" fontId="0" fillId="5" borderId="0" xfId="2" applyNumberFormat="1" applyFont="1" applyFill="1"/>
    <xf numFmtId="0" fontId="0" fillId="0" borderId="0" xfId="0" quotePrefix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65" fontId="0" fillId="5" borderId="0" xfId="2" applyNumberFormat="1" applyFont="1" applyFill="1"/>
    <xf numFmtId="165" fontId="0" fillId="6" borderId="0" xfId="2" applyNumberFormat="1" applyFont="1" applyFill="1"/>
    <xf numFmtId="165" fontId="0" fillId="7" borderId="0" xfId="2" applyNumberFormat="1" applyFont="1" applyFill="1"/>
    <xf numFmtId="165" fontId="0" fillId="8" borderId="0" xfId="2" applyNumberFormat="1" applyFont="1" applyFill="1"/>
    <xf numFmtId="165" fontId="0" fillId="4" borderId="0" xfId="2" applyNumberFormat="1" applyFont="1" applyFill="1"/>
    <xf numFmtId="165" fontId="0" fillId="9" borderId="0" xfId="2" applyNumberFormat="1" applyFont="1" applyFill="1"/>
    <xf numFmtId="165" fontId="0" fillId="11" borderId="0" xfId="2" applyNumberFormat="1" applyFont="1" applyFill="1"/>
    <xf numFmtId="165" fontId="0" fillId="12" borderId="0" xfId="2" applyNumberFormat="1" applyFont="1" applyFill="1"/>
    <xf numFmtId="165" fontId="0" fillId="13" borderId="0" xfId="2" applyNumberFormat="1" applyFont="1" applyFill="1"/>
    <xf numFmtId="165" fontId="0" fillId="14" borderId="0" xfId="2" applyNumberFormat="1" applyFont="1" applyFill="1"/>
    <xf numFmtId="165" fontId="0" fillId="15" borderId="0" xfId="2" applyNumberFormat="1" applyFont="1" applyFill="1"/>
    <xf numFmtId="0" fontId="0" fillId="17" borderId="1" xfId="0" applyFill="1" applyBorder="1"/>
    <xf numFmtId="9" fontId="0" fillId="5" borderId="0" xfId="2" applyNumberFormat="1" applyFont="1" applyFill="1"/>
    <xf numFmtId="10" fontId="0" fillId="6" borderId="0" xfId="2" applyNumberFormat="1" applyFont="1" applyFill="1"/>
    <xf numFmtId="10" fontId="0" fillId="7" borderId="0" xfId="2" applyNumberFormat="1" applyFont="1" applyFill="1"/>
    <xf numFmtId="10" fontId="0" fillId="8" borderId="0" xfId="2" applyNumberFormat="1" applyFont="1" applyFill="1"/>
    <xf numFmtId="10" fontId="0" fillId="4" borderId="0" xfId="2" applyNumberFormat="1" applyFont="1" applyFill="1"/>
    <xf numFmtId="10" fontId="0" fillId="9" borderId="0" xfId="2" applyNumberFormat="1" applyFont="1" applyFill="1"/>
    <xf numFmtId="10" fontId="0" fillId="11" borderId="0" xfId="2" applyNumberFormat="1" applyFont="1" applyFill="1"/>
    <xf numFmtId="10" fontId="0" fillId="12" borderId="0" xfId="2" applyNumberFormat="1" applyFont="1" applyFill="1"/>
    <xf numFmtId="10" fontId="0" fillId="13" borderId="0" xfId="2" applyNumberFormat="1" applyFont="1" applyFill="1"/>
    <xf numFmtId="10" fontId="0" fillId="14" borderId="0" xfId="2" applyNumberFormat="1" applyFont="1" applyFill="1"/>
    <xf numFmtId="10" fontId="0" fillId="15" borderId="0" xfId="2" applyNumberFormat="1" applyFont="1" applyFill="1"/>
    <xf numFmtId="0" fontId="2" fillId="3" borderId="0" xfId="0" applyFont="1" applyFill="1" applyAlignment="1">
      <alignment horizontal="center"/>
    </xf>
    <xf numFmtId="0" fontId="0" fillId="16" borderId="2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rgb="FF000000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514567</xdr:colOff>
      <xdr:row>2</xdr:row>
      <xdr:rowOff>57151</xdr:rowOff>
    </xdr:from>
    <xdr:to>
      <xdr:col>24</xdr:col>
      <xdr:colOff>554789</xdr:colOff>
      <xdr:row>16</xdr:row>
      <xdr:rowOff>95251</xdr:rowOff>
    </xdr:to>
    <xdr:pic>
      <xdr:nvPicPr>
        <xdr:cNvPr id="2" name="Picture 1" descr="Arun Manglick - Artificial Intelligence &amp; Machine/Deep Learning: Apriori">
          <a:extLst>
            <a:ext uri="{FF2B5EF4-FFF2-40B4-BE49-F238E27FC236}">
              <a16:creationId xmlns:a16="http://schemas.microsoft.com/office/drawing/2014/main" id="{1330982A-7F90-499A-8E40-59C51461D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967" y="438151"/>
          <a:ext cx="5526622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104992</xdr:colOff>
      <xdr:row>2</xdr:row>
      <xdr:rowOff>66676</xdr:rowOff>
    </xdr:from>
    <xdr:to>
      <xdr:col>20</xdr:col>
      <xdr:colOff>145214</xdr:colOff>
      <xdr:row>16</xdr:row>
      <xdr:rowOff>104776</xdr:rowOff>
    </xdr:to>
    <xdr:pic>
      <xdr:nvPicPr>
        <xdr:cNvPr id="2" name="Picture 1" descr="Arun Manglick - Artificial Intelligence &amp; Machine/Deep Learning: Apriori">
          <a:extLst>
            <a:ext uri="{FF2B5EF4-FFF2-40B4-BE49-F238E27FC236}">
              <a16:creationId xmlns:a16="http://schemas.microsoft.com/office/drawing/2014/main" id="{41ED89A1-9289-48D0-B66E-D3473C60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517" y="447676"/>
          <a:ext cx="5526622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1E0EC-52FF-4CB0-BAA0-335BC582A93C}" name="Transactions" displayName="Transactions" ref="A4:I10" totalsRowCount="1">
  <autoFilter ref="A4:I9" xr:uid="{E30EE7F4-E0E1-482F-A8F9-66DD05DF3EE2}"/>
  <tableColumns count="9">
    <tableColumn id="1" xr3:uid="{D5EFD8B6-0787-4F21-9754-9B97F147A59C}" name="Transaction ID" totalsRowFunction="count"/>
    <tableColumn id="2" xr3:uid="{EEC46D51-DCE0-4B6E-B588-003CA74EA568}" name="Items Bought"/>
    <tableColumn id="3" xr3:uid="{B177D91D-3AA0-4AF4-AB52-00137F4C3413}" name="bread" totalsRowFunction="custom" dataDxfId="45" totalsRowDxfId="44">
      <calculatedColumnFormula>ISNUMBER(SEARCH(Transactions[[#Headers],[bread]],Transactions[[#This Row],[Items Bought]]))</calculatedColumnFormula>
      <totalsRowFormula>COUNTIF(Transactions[bread],TRUE)</totalsRowFormula>
    </tableColumn>
    <tableColumn id="4" xr3:uid="{0882C3CC-847E-461F-8C1F-969A0DD010AE}" name="butter" totalsRowFunction="custom" dataDxfId="43" totalsRowDxfId="42">
      <calculatedColumnFormula>ISNUMBER(SEARCH(Transactions[[#Headers],[butter]],Transactions[[#This Row],[Items Bought]]))</calculatedColumnFormula>
      <totalsRowFormula>COUNTIF(Transactions[butter],TRUE)</totalsRowFormula>
    </tableColumn>
    <tableColumn id="5" xr3:uid="{8CADE307-F40E-45A6-BFF1-F8715D08B2C6}" name="egg" totalsRowFunction="custom" dataDxfId="41" totalsRowDxfId="40">
      <calculatedColumnFormula>ISNUMBER(SEARCH(Transactions[[#Headers],[egg]],Transactions[[#This Row],[Items Bought]]))</calculatedColumnFormula>
      <totalsRowFormula>COUNTIF(Transactions[egg],TRUE)</totalsRowFormula>
    </tableColumn>
    <tableColumn id="6" xr3:uid="{2801437F-784B-4D7C-947F-83B140498051}" name="ketchup" totalsRowFunction="custom" dataDxfId="39" totalsRowDxfId="38">
      <calculatedColumnFormula>ISNUMBER(SEARCH(Transactions[[#Headers],[ketchup]],Transactions[[#This Row],[Items Bought]]))</calculatedColumnFormula>
      <totalsRowFormula>COUNTIF(Transactions[ketchup],TRUE)</totalsRowFormula>
    </tableColumn>
    <tableColumn id="7" xr3:uid="{578065BD-0A72-4731-BCC8-0B2B50AAEDA3}" name="milk" totalsRowFunction="custom" dataDxfId="37" totalsRowDxfId="36">
      <calculatedColumnFormula>ISNUMBER(SEARCH(Transactions[[#Headers],[milk]],Transactions[[#This Row],[Items Bought]]))</calculatedColumnFormula>
      <totalsRowFormula>COUNTIF(Transactions[milk],TRUE)</totalsRowFormula>
    </tableColumn>
    <tableColumn id="9" xr3:uid="{F8D3AC71-DED4-4371-9E11-408F6CBA9310}" name="pen" totalsRowFunction="custom" dataDxfId="35" totalsRowDxfId="34">
      <calculatedColumnFormula>ISNUMBER(SEARCH(Transactions[[#Headers],[pen]],Transactions[[#This Row],[Items Bought]]))</calculatedColumnFormula>
      <totalsRowFormula>COUNTIF(Transactions[pen],TRUE)</totalsRowFormula>
    </tableColumn>
    <tableColumn id="10" xr3:uid="{0335D740-B469-4101-AC5D-58A6648A55C6}" name="spinach" totalsRowFunction="custom" dataDxfId="33" totalsRowDxfId="32">
      <calculatedColumnFormula>ISNUMBER(SEARCH(Transactions[[#Headers],[spinach]],Transactions[[#This Row],[Items Bought]]))</calculatedColumnFormula>
      <totalsRowFormula>COUNTIF(Transactions[spinach],TRUE)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989C9-F18A-43DB-A14E-D23239A659E9}" name="Transactions3" displayName="Transactions3" ref="A5:I11" totalsRowCount="1" headerRowDxfId="31" headerRowBorderDxfId="30">
  <autoFilter ref="A5:I10" xr:uid="{E30EE7F4-E0E1-482F-A8F9-66DD05DF3EE2}"/>
  <tableColumns count="9">
    <tableColumn id="1" xr3:uid="{8BA2A7D5-0431-47E2-A396-EBB1D5BA2E73}" name="Transaction ID" totalsRowFunction="count"/>
    <tableColumn id="2" xr3:uid="{282E4C35-4A0D-4C04-93B8-02C0555C26E5}" name="Items Bought"/>
    <tableColumn id="3" xr3:uid="{89B0D930-26BA-4082-A503-30FE438CE36A}" name="bread" totalsRowFunction="custom" dataDxfId="29" totalsRowDxfId="28">
      <calculatedColumnFormula>ISNUMBER(SEARCH(Transactions3[[#Headers],[bread]],Transactions3[[#This Row],[Items Bought]]))</calculatedColumnFormula>
      <totalsRowFormula>COUNTIF(Transactions3[bread],TRUE)</totalsRowFormula>
    </tableColumn>
    <tableColumn id="4" xr3:uid="{FD5AB9FA-6B4A-408D-9CAA-3FC050A123DD}" name="butter" totalsRowFunction="custom" dataDxfId="27" totalsRowDxfId="26">
      <calculatedColumnFormula>ISNUMBER(SEARCH(Transactions3[[#Headers],[butter]],Transactions3[[#This Row],[Items Bought]]))</calculatedColumnFormula>
      <totalsRowFormula>COUNTIF(Transactions3[butter],TRUE)</totalsRowFormula>
    </tableColumn>
    <tableColumn id="5" xr3:uid="{F3780615-254D-4BCA-B695-686BF449695E}" name="egg" totalsRowFunction="custom" dataDxfId="25" totalsRowDxfId="24">
      <calculatedColumnFormula>ISNUMBER(SEARCH(Transactions3[[#Headers],[egg]],Transactions3[[#This Row],[Items Bought]]))</calculatedColumnFormula>
      <totalsRowFormula>COUNTIF(Transactions3[egg],TRUE)</totalsRowFormula>
    </tableColumn>
    <tableColumn id="6" xr3:uid="{40A375B0-AFC3-4D77-88F2-8CE5747E77B6}" name="ketchup" totalsRowFunction="custom" dataDxfId="23" totalsRowDxfId="22">
      <calculatedColumnFormula>ISNUMBER(SEARCH(Transactions3[[#Headers],[ketchup]],Transactions3[[#This Row],[Items Bought]]))</calculatedColumnFormula>
      <totalsRowFormula>COUNTIF(Transactions3[ketchup],TRUE)</totalsRowFormula>
    </tableColumn>
    <tableColumn id="7" xr3:uid="{F63605F4-0395-4DDD-B646-B6FAD665D362}" name="milk" totalsRowFunction="custom" dataDxfId="21" totalsRowDxfId="20">
      <calculatedColumnFormula>ISNUMBER(SEARCH(Transactions3[[#Headers],[milk]],Transactions3[[#This Row],[Items Bought]]))</calculatedColumnFormula>
      <totalsRowFormula>COUNTIF(Transactions3[milk],TRUE)</totalsRowFormula>
    </tableColumn>
    <tableColumn id="9" xr3:uid="{8A783CAE-5392-4E96-8F4C-C59B44D04B16}" name="pen" totalsRowFunction="custom" dataDxfId="19" totalsRowDxfId="18">
      <calculatedColumnFormula>ISNUMBER(SEARCH(Transactions3[[#Headers],[pen]],Transactions3[[#This Row],[Items Bought]]))</calculatedColumnFormula>
      <totalsRowFormula>COUNTIF(Transactions3[pen],TRUE)</totalsRowFormula>
    </tableColumn>
    <tableColumn id="10" xr3:uid="{A71AD459-1361-4A64-A93D-8C3C13BAD632}" name="spinach" totalsRowFunction="custom" dataDxfId="17" totalsRowDxfId="16">
      <calculatedColumnFormula>ISNUMBER(SEARCH(Transactions3[[#Headers],[spinach]],Transactions3[[#This Row],[Items Bought]]))</calculatedColumnFormula>
      <totalsRowFormula>COUNTIF(Transactions3[spinach],TRUE)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965681-1ADC-4529-A7F1-F48CA39D0998}" name="Transactions36" displayName="Transactions36" ref="A1:I5" totalsRowShown="0" headerRowDxfId="15" headerRowBorderDxfId="14">
  <autoFilter ref="A1:I5" xr:uid="{E30EE7F4-E0E1-482F-A8F9-66DD05DF3EE2}"/>
  <tableColumns count="9">
    <tableColumn id="1" xr3:uid="{BAD665D7-FBEC-4746-A648-98F3C02377BB}" name="Transaction ID"/>
    <tableColumn id="2" xr3:uid="{05E44558-0138-4AD7-BE19-91BE38D6B129}" name="Items Bought"/>
    <tableColumn id="3" xr3:uid="{BBE23F8A-9978-4DDD-9DA1-A6AFCCFFA1EB}" name="bread" dataDxfId="13" totalsRowDxfId="12">
      <calculatedColumnFormula>ISNUMBER(SEARCH(Transactions36[[#Headers],[bread]],Transactions36[[#This Row],[Items Bought]]))</calculatedColumnFormula>
    </tableColumn>
    <tableColumn id="4" xr3:uid="{C81E5369-7EEF-4E8D-B0A3-7F63039CB5F4}" name="butter" dataDxfId="11" totalsRowDxfId="10">
      <calculatedColumnFormula>ISNUMBER(SEARCH(Transactions36[[#Headers],[butter]],Transactions36[[#This Row],[Items Bought]]))</calculatedColumnFormula>
    </tableColumn>
    <tableColumn id="5" xr3:uid="{8E5534AB-33E9-43B7-BAC7-1F1739C7BBEC}" name="egg" dataDxfId="9" totalsRowDxfId="8">
      <calculatedColumnFormula>ISNUMBER(SEARCH(Transactions36[[#Headers],[egg]],Transactions36[[#This Row],[Items Bought]]))</calculatedColumnFormula>
    </tableColumn>
    <tableColumn id="6" xr3:uid="{88DA4F92-A952-40CC-9A2C-1D0764ABDB1E}" name="ketchup" dataDxfId="7" totalsRowDxfId="6">
      <calculatedColumnFormula>ISNUMBER(SEARCH(Transactions36[[#Headers],[ketchup]],Transactions36[[#This Row],[Items Bought]]))</calculatedColumnFormula>
    </tableColumn>
    <tableColumn id="7" xr3:uid="{33BED004-34B0-450B-962E-4B8D4528AA1A}" name="milk" dataDxfId="5" totalsRowDxfId="4">
      <calculatedColumnFormula>ISNUMBER(SEARCH(Transactions36[[#Headers],[milk]],Transactions36[[#This Row],[Items Bought]]))</calculatedColumnFormula>
    </tableColumn>
    <tableColumn id="9" xr3:uid="{736DC6C7-1CD2-432F-9FEA-37FB35E5CAE3}" name="pen" dataDxfId="3" totalsRowDxfId="2">
      <calculatedColumnFormula>ISNUMBER(SEARCH(Transactions36[[#Headers],[pen]],Transactions36[[#This Row],[Items Bought]]))</calculatedColumnFormula>
    </tableColumn>
    <tableColumn id="10" xr3:uid="{1E17E0D4-3AD5-4135-BBD8-E58800D1507A}" name="spinach" dataDxfId="1" totalsRowDxfId="0">
      <calculatedColumnFormula>ISNUMBER(SEARCH(Transactions36[[#Headers],[spinach]],Transactions36[[#This Row],[Items Bought]]))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292A-E186-4DA7-816A-52E39BBECA75}">
  <dimension ref="A2:I10"/>
  <sheetViews>
    <sheetView workbookViewId="0">
      <selection activeCell="B30" sqref="B30"/>
    </sheetView>
  </sheetViews>
  <sheetFormatPr defaultRowHeight="14.5" x14ac:dyDescent="0.35"/>
  <cols>
    <col min="1" max="1" width="15.54296875" customWidth="1"/>
    <col min="2" max="2" width="30.54296875" bestFit="1" customWidth="1"/>
    <col min="3" max="3" width="8.453125" bestFit="1" customWidth="1"/>
    <col min="11" max="11" width="12.81640625" customWidth="1"/>
  </cols>
  <sheetData>
    <row r="2" spans="1:9" x14ac:dyDescent="0.35">
      <c r="C2" s="49" t="s">
        <v>22</v>
      </c>
      <c r="D2" s="49"/>
      <c r="E2" s="49"/>
      <c r="F2" s="49"/>
      <c r="G2" s="49"/>
      <c r="H2" s="49"/>
      <c r="I2" s="49"/>
    </row>
    <row r="4" spans="1:9" x14ac:dyDescent="0.35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12</v>
      </c>
      <c r="I4" t="s">
        <v>14</v>
      </c>
    </row>
    <row r="5" spans="1:9" x14ac:dyDescent="0.35">
      <c r="A5" t="s">
        <v>0</v>
      </c>
      <c r="B5" t="s">
        <v>1</v>
      </c>
      <c r="C5" t="b">
        <f>ISNUMBER(SEARCH(Transactions[[#Headers],[bread]],Transactions[[#This Row],[Items Bought]]))</f>
        <v>1</v>
      </c>
      <c r="D5" t="b">
        <f>ISNUMBER(SEARCH(Transactions[[#Headers],[butter]],Transactions[[#This Row],[Items Bought]]))</f>
        <v>1</v>
      </c>
      <c r="E5" t="b">
        <f>ISNUMBER(SEARCH(Transactions[[#Headers],[egg]],Transactions[[#This Row],[Items Bought]]))</f>
        <v>0</v>
      </c>
      <c r="F5" t="b">
        <f>ISNUMBER(SEARCH(Transactions[[#Headers],[ketchup]],Transactions[[#This Row],[Items Bought]]))</f>
        <v>0</v>
      </c>
      <c r="G5" t="b">
        <f>ISNUMBER(SEARCH(Transactions[[#Headers],[milk]],Transactions[[#This Row],[Items Bought]]))</f>
        <v>0</v>
      </c>
      <c r="H5" t="b">
        <f>ISNUMBER(SEARCH(Transactions[[#Headers],[pen]],Transactions[[#This Row],[Items Bought]]))</f>
        <v>1</v>
      </c>
      <c r="I5" t="b">
        <f>ISNUMBER(SEARCH(Transactions[[#Headers],[spinach]],Transactions[[#This Row],[Items Bought]]))</f>
        <v>0</v>
      </c>
    </row>
    <row r="6" spans="1:9" x14ac:dyDescent="0.35">
      <c r="A6" t="s">
        <v>2</v>
      </c>
      <c r="B6" t="s">
        <v>3</v>
      </c>
      <c r="C6" t="b">
        <f>ISNUMBER(SEARCH(Transactions[[#Headers],[bread]],Transactions[[#This Row],[Items Bought]]))</f>
        <v>1</v>
      </c>
      <c r="D6" t="b">
        <f>ISNUMBER(SEARCH(Transactions[[#Headers],[butter]],Transactions[[#This Row],[Items Bought]]))</f>
        <v>1</v>
      </c>
      <c r="E6" t="b">
        <f>ISNUMBER(SEARCH(Transactions[[#Headers],[egg]],Transactions[[#This Row],[Items Bought]]))</f>
        <v>1</v>
      </c>
      <c r="F6" t="b">
        <f>ISNUMBER(SEARCH(Transactions[[#Headers],[ketchup]],Transactions[[#This Row],[Items Bought]]))</f>
        <v>0</v>
      </c>
      <c r="G6" t="b">
        <f>ISNUMBER(SEARCH(Transactions[[#Headers],[milk]],Transactions[[#This Row],[Items Bought]]))</f>
        <v>1</v>
      </c>
      <c r="H6" t="b">
        <f>ISNUMBER(SEARCH(Transactions[[#Headers],[pen]],Transactions[[#This Row],[Items Bought]]))</f>
        <v>0</v>
      </c>
      <c r="I6" t="b">
        <f>ISNUMBER(SEARCH(Transactions[[#Headers],[spinach]],Transactions[[#This Row],[Items Bought]]))</f>
        <v>0</v>
      </c>
    </row>
    <row r="7" spans="1:9" x14ac:dyDescent="0.35">
      <c r="A7" t="s">
        <v>4</v>
      </c>
      <c r="B7" t="s">
        <v>5</v>
      </c>
      <c r="C7" t="b">
        <f>ISNUMBER(SEARCH(Transactions[[#Headers],[bread]],Transactions[[#This Row],[Items Bought]]))</f>
        <v>0</v>
      </c>
      <c r="D7" t="b">
        <f>ISNUMBER(SEARCH(Transactions[[#Headers],[butter]],Transactions[[#This Row],[Items Bought]]))</f>
        <v>0</v>
      </c>
      <c r="E7" t="b">
        <f>ISNUMBER(SEARCH(Transactions[[#Headers],[egg]],Transactions[[#This Row],[Items Bought]]))</f>
        <v>1</v>
      </c>
      <c r="F7" t="b">
        <f>ISNUMBER(SEARCH(Transactions[[#Headers],[ketchup]],Transactions[[#This Row],[Items Bought]]))</f>
        <v>0</v>
      </c>
      <c r="G7" t="b">
        <f>ISNUMBER(SEARCH(Transactions[[#Headers],[milk]],Transactions[[#This Row],[Items Bought]]))</f>
        <v>1</v>
      </c>
      <c r="H7" t="b">
        <f>ISNUMBER(SEARCH(Transactions[[#Headers],[pen]],Transactions[[#This Row],[Items Bought]]))</f>
        <v>0</v>
      </c>
      <c r="I7" t="b">
        <f>ISNUMBER(SEARCH(Transactions[[#Headers],[spinach]],Transactions[[#This Row],[Items Bought]]))</f>
        <v>1</v>
      </c>
    </row>
    <row r="8" spans="1:9" x14ac:dyDescent="0.35">
      <c r="A8" t="s">
        <v>6</v>
      </c>
      <c r="B8" t="s">
        <v>7</v>
      </c>
      <c r="C8" t="b">
        <f>ISNUMBER(SEARCH(Transactions[[#Headers],[bread]],Transactions[[#This Row],[Items Bought]]))</f>
        <v>1</v>
      </c>
      <c r="D8" t="b">
        <f>ISNUMBER(SEARCH(Transactions[[#Headers],[butter]],Transactions[[#This Row],[Items Bought]]))</f>
        <v>1</v>
      </c>
      <c r="E8" t="b">
        <f>ISNUMBER(SEARCH(Transactions[[#Headers],[egg]],Transactions[[#This Row],[Items Bought]]))</f>
        <v>0</v>
      </c>
      <c r="F8" t="b">
        <f>ISNUMBER(SEARCH(Transactions[[#Headers],[ketchup]],Transactions[[#This Row],[Items Bought]]))</f>
        <v>0</v>
      </c>
      <c r="G8" t="b">
        <f>ISNUMBER(SEARCH(Transactions[[#Headers],[milk]],Transactions[[#This Row],[Items Bought]]))</f>
        <v>0</v>
      </c>
      <c r="H8" t="b">
        <f>ISNUMBER(SEARCH(Transactions[[#Headers],[pen]],Transactions[[#This Row],[Items Bought]]))</f>
        <v>0</v>
      </c>
      <c r="I8" t="b">
        <f>ISNUMBER(SEARCH(Transactions[[#Headers],[spinach]],Transactions[[#This Row],[Items Bought]]))</f>
        <v>0</v>
      </c>
    </row>
    <row r="9" spans="1:9" x14ac:dyDescent="0.35">
      <c r="A9" t="s">
        <v>8</v>
      </c>
      <c r="B9" t="s">
        <v>9</v>
      </c>
      <c r="C9" t="b">
        <f>ISNUMBER(SEARCH(Transactions[[#Headers],[bread]],Transactions[[#This Row],[Items Bought]]))</f>
        <v>1</v>
      </c>
      <c r="D9" t="b">
        <f>ISNUMBER(SEARCH(Transactions[[#Headers],[butter]],Transactions[[#This Row],[Items Bought]]))</f>
        <v>1</v>
      </c>
      <c r="E9" t="b">
        <f>ISNUMBER(SEARCH(Transactions[[#Headers],[egg]],Transactions[[#This Row],[Items Bought]]))</f>
        <v>1</v>
      </c>
      <c r="F9" t="b">
        <f>ISNUMBER(SEARCH(Transactions[[#Headers],[ketchup]],Transactions[[#This Row],[Items Bought]]))</f>
        <v>1</v>
      </c>
      <c r="G9" t="b">
        <f>ISNUMBER(SEARCH(Transactions[[#Headers],[milk]],Transactions[[#This Row],[Items Bought]]))</f>
        <v>1</v>
      </c>
      <c r="H9" t="b">
        <f>ISNUMBER(SEARCH(Transactions[[#Headers],[pen]],Transactions[[#This Row],[Items Bought]]))</f>
        <v>0</v>
      </c>
      <c r="I9" t="b">
        <f>ISNUMBER(SEARCH(Transactions[[#Headers],[spinach]],Transactions[[#This Row],[Items Bought]]))</f>
        <v>0</v>
      </c>
    </row>
    <row r="10" spans="1:9" x14ac:dyDescent="0.35">
      <c r="A10">
        <f>SUBTOTAL(103,Transactions[Transaction ID])</f>
        <v>5</v>
      </c>
      <c r="C10" s="1">
        <f>COUNTIF(Transactions[bread],TRUE)</f>
        <v>4</v>
      </c>
      <c r="D10" s="1">
        <f>COUNTIF(Transactions[butter],TRUE)</f>
        <v>4</v>
      </c>
      <c r="E10" s="1">
        <f>COUNTIF(Transactions[egg],TRUE)</f>
        <v>3</v>
      </c>
      <c r="F10" s="1">
        <f>COUNTIF(Transactions[ketchup],TRUE)</f>
        <v>1</v>
      </c>
      <c r="G10" s="1">
        <f>COUNTIF(Transactions[milk],TRUE)</f>
        <v>3</v>
      </c>
      <c r="H10" s="1">
        <f>COUNTIF(Transactions[pen],TRUE)</f>
        <v>1</v>
      </c>
      <c r="I10" s="1">
        <f>COUNTIF(Transactions[spinach],TRUE)</f>
        <v>1</v>
      </c>
    </row>
  </sheetData>
  <mergeCells count="1">
    <mergeCell ref="C2:I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DDF3-37A2-4D26-8658-A78D586BDD1A}">
  <dimension ref="A2:P38"/>
  <sheetViews>
    <sheetView topLeftCell="J1" zoomScale="130" zoomScaleNormal="130" workbookViewId="0">
      <selection activeCell="N38" sqref="N38"/>
    </sheetView>
  </sheetViews>
  <sheetFormatPr defaultRowHeight="14.5" x14ac:dyDescent="0.35"/>
  <cols>
    <col min="1" max="1" width="11" customWidth="1"/>
    <col min="2" max="2" width="30.54296875" bestFit="1" customWidth="1"/>
    <col min="3" max="3" width="8.453125" bestFit="1" customWidth="1"/>
    <col min="11" max="11" width="12.81640625" customWidth="1"/>
    <col min="12" max="12" width="22.1796875" bestFit="1" customWidth="1"/>
    <col min="13" max="13" width="23.54296875" bestFit="1" customWidth="1"/>
  </cols>
  <sheetData>
    <row r="2" spans="1:16" x14ac:dyDescent="0.35">
      <c r="K2" s="5" t="s">
        <v>23</v>
      </c>
      <c r="N2" s="6"/>
      <c r="O2" s="7"/>
    </row>
    <row r="3" spans="1:16" x14ac:dyDescent="0.35">
      <c r="C3" s="49" t="s">
        <v>22</v>
      </c>
      <c r="D3" s="49"/>
      <c r="E3" s="49"/>
      <c r="F3" s="49"/>
      <c r="G3" s="49"/>
      <c r="H3" s="49"/>
      <c r="I3" s="49"/>
      <c r="N3" s="6"/>
      <c r="O3" s="7"/>
    </row>
    <row r="4" spans="1:16" x14ac:dyDescent="0.35">
      <c r="K4" t="s">
        <v>26</v>
      </c>
      <c r="L4" s="6" t="s">
        <v>33</v>
      </c>
      <c r="M4" s="7">
        <v>5</v>
      </c>
      <c r="N4" s="6"/>
      <c r="O4" s="7"/>
    </row>
    <row r="5" spans="1:16" ht="29" x14ac:dyDescent="0.35">
      <c r="A5" s="9" t="s">
        <v>10</v>
      </c>
      <c r="B5" s="8" t="s">
        <v>11</v>
      </c>
      <c r="C5" s="8" t="s">
        <v>13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12</v>
      </c>
      <c r="I5" s="8" t="s">
        <v>14</v>
      </c>
      <c r="K5" s="2" t="s">
        <v>24</v>
      </c>
      <c r="L5" s="2" t="s">
        <v>19</v>
      </c>
      <c r="M5" s="2" t="s">
        <v>25</v>
      </c>
      <c r="N5" s="2" t="s">
        <v>21</v>
      </c>
      <c r="O5" s="2" t="s">
        <v>20</v>
      </c>
    </row>
    <row r="6" spans="1:16" x14ac:dyDescent="0.35">
      <c r="A6" t="s">
        <v>0</v>
      </c>
      <c r="B6" t="s">
        <v>1</v>
      </c>
      <c r="C6" t="b">
        <f>ISNUMBER(SEARCH(Transactions3[[#Headers],[bread]],Transactions3[[#This Row],[Items Bought]]))</f>
        <v>1</v>
      </c>
      <c r="D6" t="b">
        <f>ISNUMBER(SEARCH(Transactions3[[#Headers],[butter]],Transactions3[[#This Row],[Items Bought]]))</f>
        <v>1</v>
      </c>
      <c r="E6" t="b">
        <f>ISNUMBER(SEARCH(Transactions3[[#Headers],[egg]],Transactions3[[#This Row],[Items Bought]]))</f>
        <v>0</v>
      </c>
      <c r="F6" t="b">
        <f>ISNUMBER(SEARCH(Transactions3[[#Headers],[ketchup]],Transactions3[[#This Row],[Items Bought]]))</f>
        <v>0</v>
      </c>
      <c r="G6" t="b">
        <f>ISNUMBER(SEARCH(Transactions3[[#Headers],[milk]],Transactions3[[#This Row],[Items Bought]]))</f>
        <v>0</v>
      </c>
      <c r="H6" t="b">
        <f>ISNUMBER(SEARCH(Transactions3[[#Headers],[pen]],Transactions3[[#This Row],[Items Bought]]))</f>
        <v>1</v>
      </c>
      <c r="I6" t="b">
        <f>ISNUMBER(SEARCH(Transactions3[[#Headers],[spinach]],Transactions3[[#This Row],[Items Bought]]))</f>
        <v>0</v>
      </c>
      <c r="K6" s="10">
        <v>1</v>
      </c>
      <c r="L6" s="11" t="s">
        <v>13</v>
      </c>
      <c r="M6" s="11" t="str">
        <f>CONCATENATE("{",L6,"}")</f>
        <v>{bread}</v>
      </c>
      <c r="N6" s="12">
        <f>COUNTIF(Transactions3[bread],TRUE)</f>
        <v>4</v>
      </c>
      <c r="O6" s="13">
        <f>N6/$M$4</f>
        <v>0.8</v>
      </c>
    </row>
    <row r="7" spans="1:16" x14ac:dyDescent="0.35">
      <c r="A7" t="s">
        <v>2</v>
      </c>
      <c r="B7" t="s">
        <v>3</v>
      </c>
      <c r="C7" t="b">
        <f>ISNUMBER(SEARCH(Transactions3[[#Headers],[bread]],Transactions3[[#This Row],[Items Bought]]))</f>
        <v>1</v>
      </c>
      <c r="D7" t="b">
        <f>ISNUMBER(SEARCH(Transactions3[[#Headers],[butter]],Transactions3[[#This Row],[Items Bought]]))</f>
        <v>1</v>
      </c>
      <c r="E7" t="b">
        <f>ISNUMBER(SEARCH(Transactions3[[#Headers],[egg]],Transactions3[[#This Row],[Items Bought]]))</f>
        <v>1</v>
      </c>
      <c r="F7" t="b">
        <f>ISNUMBER(SEARCH(Transactions3[[#Headers],[ketchup]],Transactions3[[#This Row],[Items Bought]]))</f>
        <v>0</v>
      </c>
      <c r="G7" t="b">
        <f>ISNUMBER(SEARCH(Transactions3[[#Headers],[milk]],Transactions3[[#This Row],[Items Bought]]))</f>
        <v>1</v>
      </c>
      <c r="H7" t="b">
        <f>ISNUMBER(SEARCH(Transactions3[[#Headers],[pen]],Transactions3[[#This Row],[Items Bought]]))</f>
        <v>0</v>
      </c>
      <c r="I7" t="b">
        <f>ISNUMBER(SEARCH(Transactions3[[#Headers],[spinach]],Transactions3[[#This Row],[Items Bought]]))</f>
        <v>0</v>
      </c>
      <c r="K7" s="10">
        <v>2</v>
      </c>
      <c r="L7" s="11" t="s">
        <v>15</v>
      </c>
      <c r="M7" s="11" t="str">
        <f t="shared" ref="M7:M12" si="0">CONCATENATE("{",L7,"}")</f>
        <v>{butter}</v>
      </c>
      <c r="N7" s="12">
        <f>COUNTIF(Transactions3[butter],TRUE)</f>
        <v>4</v>
      </c>
      <c r="O7" s="13">
        <f t="shared" ref="O7:O12" si="1">N7/$M$4</f>
        <v>0.8</v>
      </c>
    </row>
    <row r="8" spans="1:16" x14ac:dyDescent="0.35">
      <c r="A8" t="s">
        <v>4</v>
      </c>
      <c r="B8" t="s">
        <v>5</v>
      </c>
      <c r="C8" t="b">
        <f>ISNUMBER(SEARCH(Transactions3[[#Headers],[bread]],Transactions3[[#This Row],[Items Bought]]))</f>
        <v>0</v>
      </c>
      <c r="D8" t="b">
        <f>ISNUMBER(SEARCH(Transactions3[[#Headers],[butter]],Transactions3[[#This Row],[Items Bought]]))</f>
        <v>0</v>
      </c>
      <c r="E8" t="b">
        <f>ISNUMBER(SEARCH(Transactions3[[#Headers],[egg]],Transactions3[[#This Row],[Items Bought]]))</f>
        <v>1</v>
      </c>
      <c r="F8" t="b">
        <f>ISNUMBER(SEARCH(Transactions3[[#Headers],[ketchup]],Transactions3[[#This Row],[Items Bought]]))</f>
        <v>0</v>
      </c>
      <c r="G8" t="b">
        <f>ISNUMBER(SEARCH(Transactions3[[#Headers],[milk]],Transactions3[[#This Row],[Items Bought]]))</f>
        <v>1</v>
      </c>
      <c r="H8" t="b">
        <f>ISNUMBER(SEARCH(Transactions3[[#Headers],[pen]],Transactions3[[#This Row],[Items Bought]]))</f>
        <v>0</v>
      </c>
      <c r="I8" t="b">
        <f>ISNUMBER(SEARCH(Transactions3[[#Headers],[spinach]],Transactions3[[#This Row],[Items Bought]]))</f>
        <v>1</v>
      </c>
      <c r="K8" s="10">
        <v>3</v>
      </c>
      <c r="L8" s="11" t="s">
        <v>16</v>
      </c>
      <c r="M8" s="11" t="str">
        <f t="shared" si="0"/>
        <v>{egg}</v>
      </c>
      <c r="N8" s="12">
        <f>COUNTIF(Transactions3[egg],TRUE)</f>
        <v>3</v>
      </c>
      <c r="O8" s="13">
        <f t="shared" si="1"/>
        <v>0.6</v>
      </c>
    </row>
    <row r="9" spans="1:16" x14ac:dyDescent="0.35">
      <c r="A9" t="s">
        <v>6</v>
      </c>
      <c r="B9" t="s">
        <v>7</v>
      </c>
      <c r="C9" t="b">
        <f>ISNUMBER(SEARCH(Transactions3[[#Headers],[bread]],Transactions3[[#This Row],[Items Bought]]))</f>
        <v>1</v>
      </c>
      <c r="D9" t="b">
        <f>ISNUMBER(SEARCH(Transactions3[[#Headers],[butter]],Transactions3[[#This Row],[Items Bought]]))</f>
        <v>1</v>
      </c>
      <c r="E9" t="b">
        <f>ISNUMBER(SEARCH(Transactions3[[#Headers],[egg]],Transactions3[[#This Row],[Items Bought]]))</f>
        <v>0</v>
      </c>
      <c r="F9" t="b">
        <f>ISNUMBER(SEARCH(Transactions3[[#Headers],[ketchup]],Transactions3[[#This Row],[Items Bought]]))</f>
        <v>0</v>
      </c>
      <c r="G9" t="b">
        <f>ISNUMBER(SEARCH(Transactions3[[#Headers],[milk]],Transactions3[[#This Row],[Items Bought]]))</f>
        <v>0</v>
      </c>
      <c r="H9" t="b">
        <f>ISNUMBER(SEARCH(Transactions3[[#Headers],[pen]],Transactions3[[#This Row],[Items Bought]]))</f>
        <v>0</v>
      </c>
      <c r="I9" t="b">
        <f>ISNUMBER(SEARCH(Transactions3[[#Headers],[spinach]],Transactions3[[#This Row],[Items Bought]]))</f>
        <v>0</v>
      </c>
      <c r="K9" s="2">
        <v>4</v>
      </c>
      <c r="L9" t="s">
        <v>17</v>
      </c>
      <c r="M9" t="str">
        <f t="shared" si="0"/>
        <v>{ketchup}</v>
      </c>
      <c r="N9" s="3">
        <f>COUNTIF(Transactions3[ketchup],TRUE)</f>
        <v>1</v>
      </c>
      <c r="O9" s="4">
        <f t="shared" si="1"/>
        <v>0.2</v>
      </c>
    </row>
    <row r="10" spans="1:16" x14ac:dyDescent="0.35">
      <c r="A10" t="s">
        <v>8</v>
      </c>
      <c r="B10" t="s">
        <v>9</v>
      </c>
      <c r="C10" t="b">
        <f>ISNUMBER(SEARCH(Transactions3[[#Headers],[bread]],Transactions3[[#This Row],[Items Bought]]))</f>
        <v>1</v>
      </c>
      <c r="D10" t="b">
        <f>ISNUMBER(SEARCH(Transactions3[[#Headers],[butter]],Transactions3[[#This Row],[Items Bought]]))</f>
        <v>1</v>
      </c>
      <c r="E10" t="b">
        <f>ISNUMBER(SEARCH(Transactions3[[#Headers],[egg]],Transactions3[[#This Row],[Items Bought]]))</f>
        <v>1</v>
      </c>
      <c r="F10" t="b">
        <f>ISNUMBER(SEARCH(Transactions3[[#Headers],[ketchup]],Transactions3[[#This Row],[Items Bought]]))</f>
        <v>1</v>
      </c>
      <c r="G10" t="b">
        <f>ISNUMBER(SEARCH(Transactions3[[#Headers],[milk]],Transactions3[[#This Row],[Items Bought]]))</f>
        <v>1</v>
      </c>
      <c r="H10" t="b">
        <f>ISNUMBER(SEARCH(Transactions3[[#Headers],[pen]],Transactions3[[#This Row],[Items Bought]]))</f>
        <v>0</v>
      </c>
      <c r="I10" t="b">
        <f>ISNUMBER(SEARCH(Transactions3[[#Headers],[spinach]],Transactions3[[#This Row],[Items Bought]]))</f>
        <v>0</v>
      </c>
      <c r="K10" s="10">
        <v>5</v>
      </c>
      <c r="L10" s="11" t="s">
        <v>18</v>
      </c>
      <c r="M10" s="11" t="str">
        <f t="shared" si="0"/>
        <v>{milk}</v>
      </c>
      <c r="N10" s="12">
        <f>COUNTIF(Transactions3[milk],TRUE)</f>
        <v>3</v>
      </c>
      <c r="O10" s="13">
        <f t="shared" si="1"/>
        <v>0.6</v>
      </c>
    </row>
    <row r="11" spans="1:16" x14ac:dyDescent="0.35">
      <c r="A11">
        <f>SUBTOTAL(103,Transactions3[Transaction ID])</f>
        <v>5</v>
      </c>
      <c r="C11" s="1">
        <f>COUNTIF(Transactions3[bread],TRUE)</f>
        <v>4</v>
      </c>
      <c r="D11" s="1">
        <f>COUNTIF(Transactions3[butter],TRUE)</f>
        <v>4</v>
      </c>
      <c r="E11" s="1">
        <f>COUNTIF(Transactions3[egg],TRUE)</f>
        <v>3</v>
      </c>
      <c r="F11" s="1">
        <f>COUNTIF(Transactions3[ketchup],TRUE)</f>
        <v>1</v>
      </c>
      <c r="G11" s="1">
        <f>COUNTIF(Transactions3[milk],TRUE)</f>
        <v>3</v>
      </c>
      <c r="H11" s="1">
        <f>COUNTIF(Transactions3[pen],TRUE)</f>
        <v>1</v>
      </c>
      <c r="I11" s="1">
        <f>COUNTIF(Transactions3[spinach],TRUE)</f>
        <v>1</v>
      </c>
      <c r="K11" s="2">
        <v>6</v>
      </c>
      <c r="L11" t="s">
        <v>12</v>
      </c>
      <c r="M11" t="str">
        <f t="shared" si="0"/>
        <v>{pen}</v>
      </c>
      <c r="N11" s="3">
        <f>COUNTIF(Transactions3[pen],TRUE)</f>
        <v>1</v>
      </c>
      <c r="O11" s="4">
        <f t="shared" si="1"/>
        <v>0.2</v>
      </c>
    </row>
    <row r="12" spans="1:16" x14ac:dyDescent="0.35">
      <c r="K12" s="2">
        <v>7</v>
      </c>
      <c r="L12" t="s">
        <v>14</v>
      </c>
      <c r="M12" t="str">
        <f t="shared" si="0"/>
        <v>{spinach}</v>
      </c>
      <c r="N12" s="3">
        <f>COUNTIF(Transactions3[spinach],TRUE)</f>
        <v>1</v>
      </c>
      <c r="O12" s="4">
        <f t="shared" si="1"/>
        <v>0.2</v>
      </c>
    </row>
    <row r="14" spans="1:16" x14ac:dyDescent="0.35">
      <c r="K14" s="5" t="s">
        <v>27</v>
      </c>
      <c r="N14" s="6"/>
      <c r="O14" s="7"/>
      <c r="P14" s="14"/>
    </row>
    <row r="15" spans="1:16" x14ac:dyDescent="0.35">
      <c r="N15" s="6"/>
      <c r="O15" s="7"/>
    </row>
    <row r="16" spans="1:16" x14ac:dyDescent="0.35">
      <c r="K16" t="s">
        <v>26</v>
      </c>
      <c r="L16" s="6" t="s">
        <v>33</v>
      </c>
      <c r="M16" s="7">
        <v>5</v>
      </c>
      <c r="N16" s="6"/>
      <c r="O16" s="7"/>
    </row>
    <row r="17" spans="11:16" ht="29" x14ac:dyDescent="0.35">
      <c r="K17" s="2" t="s">
        <v>24</v>
      </c>
      <c r="L17" s="2" t="s">
        <v>19</v>
      </c>
      <c r="M17" s="2" t="s">
        <v>25</v>
      </c>
      <c r="N17" s="2" t="s">
        <v>21</v>
      </c>
      <c r="O17" s="2" t="s">
        <v>20</v>
      </c>
    </row>
    <row r="18" spans="11:16" x14ac:dyDescent="0.35">
      <c r="K18" s="10">
        <v>1</v>
      </c>
      <c r="L18" s="11" t="s">
        <v>7</v>
      </c>
      <c r="M18" s="11" t="str">
        <f>CONCATENATE("{",L18,"}")</f>
        <v>{bread, butter}</v>
      </c>
      <c r="N18" s="12">
        <v>4</v>
      </c>
      <c r="O18" s="13">
        <f>N18/$M$16</f>
        <v>0.8</v>
      </c>
    </row>
    <row r="19" spans="11:16" x14ac:dyDescent="0.35">
      <c r="K19" s="10">
        <v>2</v>
      </c>
      <c r="L19" s="11" t="s">
        <v>28</v>
      </c>
      <c r="M19" s="11" t="str">
        <f t="shared" ref="M19:M23" si="2">CONCATENATE("{",L19,"}")</f>
        <v>{bread, egg}</v>
      </c>
      <c r="N19" s="12">
        <v>2</v>
      </c>
      <c r="O19" s="13">
        <f t="shared" ref="O19:O23" si="3">N19/$M$16</f>
        <v>0.4</v>
      </c>
    </row>
    <row r="20" spans="11:16" x14ac:dyDescent="0.35">
      <c r="K20" s="10">
        <v>3</v>
      </c>
      <c r="L20" s="11" t="s">
        <v>29</v>
      </c>
      <c r="M20" s="11" t="str">
        <f t="shared" si="2"/>
        <v>{bread, milk}</v>
      </c>
      <c r="N20" s="12">
        <v>2</v>
      </c>
      <c r="O20" s="13">
        <f t="shared" si="3"/>
        <v>0.4</v>
      </c>
    </row>
    <row r="21" spans="11:16" x14ac:dyDescent="0.35">
      <c r="K21" s="10">
        <v>4</v>
      </c>
      <c r="L21" s="11" t="s">
        <v>30</v>
      </c>
      <c r="M21" s="11" t="str">
        <f t="shared" si="2"/>
        <v>{butter, egg}</v>
      </c>
      <c r="N21" s="12">
        <v>2</v>
      </c>
      <c r="O21" s="13">
        <f t="shared" si="3"/>
        <v>0.4</v>
      </c>
    </row>
    <row r="22" spans="11:16" x14ac:dyDescent="0.35">
      <c r="K22" s="10">
        <v>5</v>
      </c>
      <c r="L22" s="11" t="s">
        <v>31</v>
      </c>
      <c r="M22" s="11" t="str">
        <f t="shared" si="2"/>
        <v>{butter, milk}</v>
      </c>
      <c r="N22" s="12">
        <v>2</v>
      </c>
      <c r="O22" s="13">
        <f t="shared" si="3"/>
        <v>0.4</v>
      </c>
    </row>
    <row r="23" spans="11:16" x14ac:dyDescent="0.35">
      <c r="K23" s="10">
        <v>6</v>
      </c>
      <c r="L23" s="11" t="s">
        <v>32</v>
      </c>
      <c r="M23" s="11" t="str">
        <f t="shared" si="2"/>
        <v>{egg, milk}</v>
      </c>
      <c r="N23" s="12">
        <v>3</v>
      </c>
      <c r="O23" s="13">
        <f t="shared" si="3"/>
        <v>0.6</v>
      </c>
    </row>
    <row r="25" spans="11:16" x14ac:dyDescent="0.35">
      <c r="K25" s="5" t="s">
        <v>38</v>
      </c>
      <c r="N25" s="6"/>
      <c r="O25" s="7"/>
      <c r="P25" s="14"/>
    </row>
    <row r="26" spans="11:16" x14ac:dyDescent="0.35">
      <c r="N26" s="6"/>
      <c r="O26" s="7"/>
    </row>
    <row r="27" spans="11:16" x14ac:dyDescent="0.35">
      <c r="K27" t="s">
        <v>26</v>
      </c>
      <c r="L27" s="6" t="s">
        <v>33</v>
      </c>
      <c r="M27" s="7">
        <v>5</v>
      </c>
      <c r="N27" s="6"/>
      <c r="O27" s="7"/>
    </row>
    <row r="28" spans="11:16" ht="29" x14ac:dyDescent="0.35">
      <c r="K28" s="2" t="s">
        <v>24</v>
      </c>
      <c r="L28" s="2" t="s">
        <v>19</v>
      </c>
      <c r="M28" s="2" t="s">
        <v>25</v>
      </c>
      <c r="N28" s="2" t="s">
        <v>21</v>
      </c>
      <c r="O28" s="2" t="s">
        <v>20</v>
      </c>
    </row>
    <row r="29" spans="11:16" x14ac:dyDescent="0.35">
      <c r="K29" s="10">
        <v>1</v>
      </c>
      <c r="L29" s="11" t="s">
        <v>34</v>
      </c>
      <c r="M29" s="11" t="str">
        <f>CONCATENATE("{",L29,"}")</f>
        <v>{bread, butter, egg}</v>
      </c>
      <c r="N29" s="12">
        <v>2</v>
      </c>
      <c r="O29" s="13">
        <f>N29/$M$27</f>
        <v>0.4</v>
      </c>
    </row>
    <row r="30" spans="11:16" x14ac:dyDescent="0.35">
      <c r="K30" s="10">
        <v>2</v>
      </c>
      <c r="L30" s="11" t="s">
        <v>35</v>
      </c>
      <c r="M30" s="11" t="str">
        <f>CONCATENATE("{",L30,"}")</f>
        <v>{bread, butter, milk}</v>
      </c>
      <c r="N30" s="12">
        <v>2</v>
      </c>
      <c r="O30" s="13">
        <f t="shared" ref="O30:O32" si="4">N30/$M$27</f>
        <v>0.4</v>
      </c>
    </row>
    <row r="31" spans="11:16" x14ac:dyDescent="0.35">
      <c r="K31" s="10">
        <v>3</v>
      </c>
      <c r="L31" s="11" t="s">
        <v>36</v>
      </c>
      <c r="M31" s="11" t="str">
        <f>CONCATENATE("{",L31,"}")</f>
        <v>{bread, egg, milk}</v>
      </c>
      <c r="N31" s="12">
        <v>2</v>
      </c>
      <c r="O31" s="13">
        <f t="shared" si="4"/>
        <v>0.4</v>
      </c>
    </row>
    <row r="32" spans="11:16" x14ac:dyDescent="0.35">
      <c r="K32" s="10">
        <v>4</v>
      </c>
      <c r="L32" s="11" t="s">
        <v>37</v>
      </c>
      <c r="M32" s="11" t="str">
        <f>CONCATENATE("{",L32,"}")</f>
        <v>{butter, egg, milk}</v>
      </c>
      <c r="N32" s="12">
        <v>2</v>
      </c>
      <c r="O32" s="13">
        <f t="shared" si="4"/>
        <v>0.4</v>
      </c>
    </row>
    <row r="34" spans="11:15" x14ac:dyDescent="0.35">
      <c r="K34" s="5" t="s">
        <v>39</v>
      </c>
      <c r="N34" s="6"/>
      <c r="O34" s="7"/>
    </row>
    <row r="35" spans="11:15" x14ac:dyDescent="0.35">
      <c r="N35" s="6"/>
      <c r="O35" s="7"/>
    </row>
    <row r="36" spans="11:15" x14ac:dyDescent="0.35">
      <c r="K36" t="s">
        <v>26</v>
      </c>
      <c r="L36" s="6" t="s">
        <v>33</v>
      </c>
      <c r="M36" s="7">
        <v>5</v>
      </c>
      <c r="N36" s="6"/>
      <c r="O36" s="7"/>
    </row>
    <row r="37" spans="11:15" ht="29" x14ac:dyDescent="0.35">
      <c r="K37" s="2" t="s">
        <v>24</v>
      </c>
      <c r="L37" s="2" t="s">
        <v>19</v>
      </c>
      <c r="M37" s="2" t="s">
        <v>25</v>
      </c>
      <c r="N37" s="2" t="s">
        <v>21</v>
      </c>
      <c r="O37" s="2" t="s">
        <v>20</v>
      </c>
    </row>
    <row r="38" spans="11:15" x14ac:dyDescent="0.35">
      <c r="K38" s="10">
        <v>1</v>
      </c>
      <c r="L38" s="11" t="s">
        <v>3</v>
      </c>
      <c r="M38" s="11" t="str">
        <f>CONCATENATE("{",L38,"}")</f>
        <v>{bread, butter, egg, milk}</v>
      </c>
      <c r="N38" s="12">
        <v>2</v>
      </c>
      <c r="O38" s="13">
        <f>N38/$M$27</f>
        <v>0.4</v>
      </c>
    </row>
  </sheetData>
  <mergeCells count="1">
    <mergeCell ref="C3:I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9B30-CD8F-478F-BA32-9C3572C1066F}">
  <dimension ref="A1:M16"/>
  <sheetViews>
    <sheetView topLeftCell="J1" zoomScale="130" zoomScaleNormal="130" workbookViewId="0">
      <selection activeCell="K2" sqref="K2"/>
    </sheetView>
  </sheetViews>
  <sheetFormatPr defaultRowHeight="14.5" x14ac:dyDescent="0.35"/>
  <cols>
    <col min="1" max="1" width="11" customWidth="1"/>
    <col min="2" max="2" width="30.54296875" bestFit="1" customWidth="1"/>
    <col min="3" max="3" width="8.453125" bestFit="1" customWidth="1"/>
    <col min="11" max="11" width="22.1796875" bestFit="1" customWidth="1"/>
  </cols>
  <sheetData>
    <row r="1" spans="1:13" ht="29" x14ac:dyDescent="0.35">
      <c r="A1" s="9" t="s">
        <v>10</v>
      </c>
      <c r="B1" s="8" t="s">
        <v>11</v>
      </c>
      <c r="C1" s="8" t="s">
        <v>13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12</v>
      </c>
      <c r="I1" s="8" t="s">
        <v>14</v>
      </c>
      <c r="K1" s="2" t="s">
        <v>19</v>
      </c>
      <c r="L1" s="2" t="s">
        <v>21</v>
      </c>
      <c r="M1" s="2" t="s">
        <v>20</v>
      </c>
    </row>
    <row r="2" spans="1:13" x14ac:dyDescent="0.35">
      <c r="A2" t="s">
        <v>0</v>
      </c>
      <c r="B2" t="s">
        <v>1</v>
      </c>
      <c r="C2" t="b">
        <f>ISNUMBER(SEARCH(Transactions36[[#Headers],[bread]],Transactions36[[#This Row],[Items Bought]]))</f>
        <v>1</v>
      </c>
      <c r="D2" t="b">
        <f>ISNUMBER(SEARCH(Transactions36[[#Headers],[butter]],Transactions36[[#This Row],[Items Bought]]))</f>
        <v>1</v>
      </c>
      <c r="E2" t="b">
        <f>ISNUMBER(SEARCH(Transactions36[[#Headers],[egg]],Transactions36[[#This Row],[Items Bought]]))</f>
        <v>0</v>
      </c>
      <c r="F2" t="b">
        <f>ISNUMBER(SEARCH(Transactions36[[#Headers],[ketchup]],Transactions36[[#This Row],[Items Bought]]))</f>
        <v>0</v>
      </c>
      <c r="G2" t="b">
        <f>ISNUMBER(SEARCH(Transactions36[[#Headers],[milk]],Transactions36[[#This Row],[Items Bought]]))</f>
        <v>0</v>
      </c>
      <c r="H2" t="b">
        <f>ISNUMBER(SEARCH(Transactions36[[#Headers],[pen]],Transactions36[[#This Row],[Items Bought]]))</f>
        <v>1</v>
      </c>
      <c r="I2" t="b">
        <f>ISNUMBER(SEARCH(Transactions36[[#Headers],[spinach]],Transactions36[[#This Row],[Items Bought]]))</f>
        <v>0</v>
      </c>
      <c r="K2" s="11" t="s">
        <v>13</v>
      </c>
      <c r="L2" s="12">
        <v>4</v>
      </c>
      <c r="M2" s="38">
        <v>0.8</v>
      </c>
    </row>
    <row r="3" spans="1:13" x14ac:dyDescent="0.35">
      <c r="A3" t="s">
        <v>2</v>
      </c>
      <c r="B3" t="s">
        <v>3</v>
      </c>
      <c r="C3" t="b">
        <f>ISNUMBER(SEARCH(Transactions36[[#Headers],[bread]],Transactions36[[#This Row],[Items Bought]]))</f>
        <v>1</v>
      </c>
      <c r="D3" t="b">
        <f>ISNUMBER(SEARCH(Transactions36[[#Headers],[butter]],Transactions36[[#This Row],[Items Bought]]))</f>
        <v>1</v>
      </c>
      <c r="E3" t="b">
        <f>ISNUMBER(SEARCH(Transactions36[[#Headers],[egg]],Transactions36[[#This Row],[Items Bought]]))</f>
        <v>1</v>
      </c>
      <c r="F3" t="b">
        <f>ISNUMBER(SEARCH(Transactions36[[#Headers],[ketchup]],Transactions36[[#This Row],[Items Bought]]))</f>
        <v>0</v>
      </c>
      <c r="G3" t="b">
        <f>ISNUMBER(SEARCH(Transactions36[[#Headers],[milk]],Transactions36[[#This Row],[Items Bought]]))</f>
        <v>1</v>
      </c>
      <c r="H3" t="b">
        <f>ISNUMBER(SEARCH(Transactions36[[#Headers],[pen]],Transactions36[[#This Row],[Items Bought]]))</f>
        <v>0</v>
      </c>
      <c r="I3" t="b">
        <f>ISNUMBER(SEARCH(Transactions36[[#Headers],[spinach]],Transactions36[[#This Row],[Items Bought]]))</f>
        <v>0</v>
      </c>
      <c r="K3" s="11" t="s">
        <v>7</v>
      </c>
      <c r="L3" s="12">
        <v>4</v>
      </c>
      <c r="M3" s="38">
        <v>0.8</v>
      </c>
    </row>
    <row r="4" spans="1:13" x14ac:dyDescent="0.35">
      <c r="A4" t="s">
        <v>4</v>
      </c>
      <c r="B4" t="s">
        <v>5</v>
      </c>
      <c r="C4" t="b">
        <f>ISNUMBER(SEARCH(Transactions36[[#Headers],[bread]],Transactions36[[#This Row],[Items Bought]]))</f>
        <v>0</v>
      </c>
      <c r="D4" t="b">
        <f>ISNUMBER(SEARCH(Transactions36[[#Headers],[butter]],Transactions36[[#This Row],[Items Bought]]))</f>
        <v>0</v>
      </c>
      <c r="E4" t="b">
        <f>ISNUMBER(SEARCH(Transactions36[[#Headers],[egg]],Transactions36[[#This Row],[Items Bought]]))</f>
        <v>1</v>
      </c>
      <c r="F4" t="b">
        <f>ISNUMBER(SEARCH(Transactions36[[#Headers],[ketchup]],Transactions36[[#This Row],[Items Bought]]))</f>
        <v>0</v>
      </c>
      <c r="G4" t="b">
        <f>ISNUMBER(SEARCH(Transactions36[[#Headers],[milk]],Transactions36[[#This Row],[Items Bought]]))</f>
        <v>1</v>
      </c>
      <c r="H4" t="b">
        <f>ISNUMBER(SEARCH(Transactions36[[#Headers],[pen]],Transactions36[[#This Row],[Items Bought]]))</f>
        <v>0</v>
      </c>
      <c r="I4" t="b">
        <f>ISNUMBER(SEARCH(Transactions36[[#Headers],[spinach]],Transactions36[[#This Row],[Items Bought]]))</f>
        <v>1</v>
      </c>
      <c r="K4" s="11" t="s">
        <v>34</v>
      </c>
      <c r="L4" s="12">
        <v>2</v>
      </c>
      <c r="M4" s="38">
        <v>0.4</v>
      </c>
    </row>
    <row r="5" spans="1:13" x14ac:dyDescent="0.35">
      <c r="A5" t="s">
        <v>8</v>
      </c>
      <c r="B5" t="s">
        <v>9</v>
      </c>
      <c r="C5" t="b">
        <f>ISNUMBER(SEARCH(Transactions36[[#Headers],[bread]],Transactions36[[#This Row],[Items Bought]]))</f>
        <v>1</v>
      </c>
      <c r="D5" t="b">
        <f>ISNUMBER(SEARCH(Transactions36[[#Headers],[butter]],Transactions36[[#This Row],[Items Bought]]))</f>
        <v>1</v>
      </c>
      <c r="E5" t="b">
        <f>ISNUMBER(SEARCH(Transactions36[[#Headers],[egg]],Transactions36[[#This Row],[Items Bought]]))</f>
        <v>1</v>
      </c>
      <c r="F5" t="b">
        <f>ISNUMBER(SEARCH(Transactions36[[#Headers],[ketchup]],Transactions36[[#This Row],[Items Bought]]))</f>
        <v>1</v>
      </c>
      <c r="G5" t="b">
        <f>ISNUMBER(SEARCH(Transactions36[[#Headers],[milk]],Transactions36[[#This Row],[Items Bought]]))</f>
        <v>1</v>
      </c>
      <c r="H5" t="b">
        <f>ISNUMBER(SEARCH(Transactions36[[#Headers],[pen]],Transactions36[[#This Row],[Items Bought]]))</f>
        <v>0</v>
      </c>
      <c r="I5" t="b">
        <f>ISNUMBER(SEARCH(Transactions36[[#Headers],[spinach]],Transactions36[[#This Row],[Items Bought]]))</f>
        <v>0</v>
      </c>
      <c r="K5" s="11" t="s">
        <v>3</v>
      </c>
      <c r="L5" s="12">
        <v>2</v>
      </c>
      <c r="M5" s="38">
        <v>0.4</v>
      </c>
    </row>
    <row r="6" spans="1:13" x14ac:dyDescent="0.35">
      <c r="K6" s="11" t="s">
        <v>35</v>
      </c>
      <c r="L6" s="12">
        <v>2</v>
      </c>
      <c r="M6" s="38">
        <v>0.4</v>
      </c>
    </row>
    <row r="7" spans="1:13" x14ac:dyDescent="0.35">
      <c r="K7" s="11" t="s">
        <v>28</v>
      </c>
      <c r="L7" s="12">
        <v>2</v>
      </c>
      <c r="M7" s="38">
        <v>0.4</v>
      </c>
    </row>
    <row r="8" spans="1:13" x14ac:dyDescent="0.35">
      <c r="K8" s="11" t="s">
        <v>36</v>
      </c>
      <c r="L8" s="12">
        <v>2</v>
      </c>
      <c r="M8" s="38">
        <v>0.4</v>
      </c>
    </row>
    <row r="9" spans="1:13" x14ac:dyDescent="0.35">
      <c r="K9" s="11" t="s">
        <v>29</v>
      </c>
      <c r="L9" s="12">
        <v>2</v>
      </c>
      <c r="M9" s="38">
        <v>0.4</v>
      </c>
    </row>
    <row r="10" spans="1:13" x14ac:dyDescent="0.35">
      <c r="K10" s="11" t="s">
        <v>15</v>
      </c>
      <c r="L10" s="12">
        <v>4</v>
      </c>
      <c r="M10" s="38">
        <v>0.8</v>
      </c>
    </row>
    <row r="11" spans="1:13" x14ac:dyDescent="0.35">
      <c r="K11" s="11" t="s">
        <v>30</v>
      </c>
      <c r="L11" s="12">
        <v>2</v>
      </c>
      <c r="M11" s="38">
        <v>0.4</v>
      </c>
    </row>
    <row r="12" spans="1:13" x14ac:dyDescent="0.35">
      <c r="K12" s="11" t="s">
        <v>37</v>
      </c>
      <c r="L12" s="12">
        <v>2</v>
      </c>
      <c r="M12" s="38">
        <v>0.4</v>
      </c>
    </row>
    <row r="13" spans="1:13" x14ac:dyDescent="0.35">
      <c r="K13" s="11" t="s">
        <v>31</v>
      </c>
      <c r="L13" s="12">
        <v>2</v>
      </c>
      <c r="M13" s="38">
        <v>0.4</v>
      </c>
    </row>
    <row r="14" spans="1:13" x14ac:dyDescent="0.35">
      <c r="K14" s="11" t="s">
        <v>16</v>
      </c>
      <c r="L14" s="12">
        <v>3</v>
      </c>
      <c r="M14" s="38">
        <v>0.6</v>
      </c>
    </row>
    <row r="15" spans="1:13" x14ac:dyDescent="0.35">
      <c r="K15" s="11" t="s">
        <v>32</v>
      </c>
      <c r="L15" s="12">
        <v>3</v>
      </c>
      <c r="M15" s="38">
        <v>0.6</v>
      </c>
    </row>
    <row r="16" spans="1:13" x14ac:dyDescent="0.35">
      <c r="K16" s="11" t="s">
        <v>18</v>
      </c>
      <c r="L16" s="12">
        <v>3</v>
      </c>
      <c r="M16" s="38">
        <v>0.6</v>
      </c>
    </row>
  </sheetData>
  <sortState xmlns:xlrd2="http://schemas.microsoft.com/office/spreadsheetml/2017/richdata2" ref="K2:L16">
    <sortCondition ref="K2:K16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7B13-078F-4776-8D25-6B80D191BE94}">
  <dimension ref="B1:O52"/>
  <sheetViews>
    <sheetView tabSelected="1" topLeftCell="C31" zoomScale="85" zoomScaleNormal="85" workbookViewId="0">
      <selection activeCell="G41" sqref="G41:I52"/>
    </sheetView>
  </sheetViews>
  <sheetFormatPr defaultRowHeight="14.5" x14ac:dyDescent="0.35"/>
  <cols>
    <col min="2" max="2" width="22.1796875" bestFit="1" customWidth="1"/>
    <col min="3" max="3" width="35.81640625" customWidth="1"/>
    <col min="7" max="7" width="22.1796875" bestFit="1" customWidth="1"/>
    <col min="8" max="9" width="17.81640625" bestFit="1" customWidth="1"/>
    <col min="10" max="10" width="18.1796875" bestFit="1" customWidth="1"/>
    <col min="11" max="11" width="16.1796875" bestFit="1" customWidth="1"/>
    <col min="12" max="12" width="16.1796875" customWidth="1"/>
    <col min="13" max="13" width="11.1796875" bestFit="1" customWidth="1"/>
    <col min="14" max="14" width="9" customWidth="1"/>
    <col min="15" max="15" width="24.81640625" customWidth="1"/>
  </cols>
  <sheetData>
    <row r="1" spans="2:15" x14ac:dyDescent="0.35">
      <c r="J1" s="50" t="s">
        <v>50</v>
      </c>
      <c r="K1" s="50"/>
      <c r="L1" s="50"/>
    </row>
    <row r="2" spans="2:15" x14ac:dyDescent="0.35">
      <c r="G2" s="37" t="s">
        <v>25</v>
      </c>
      <c r="H2" s="37" t="s">
        <v>44</v>
      </c>
      <c r="I2" s="37" t="s">
        <v>45</v>
      </c>
      <c r="J2" s="37" t="s">
        <v>47</v>
      </c>
      <c r="K2" s="37" t="s">
        <v>48</v>
      </c>
      <c r="L2" s="37" t="s">
        <v>49</v>
      </c>
      <c r="M2" s="37" t="s">
        <v>42</v>
      </c>
      <c r="N2" s="37" t="s">
        <v>46</v>
      </c>
      <c r="O2" s="37" t="s">
        <v>43</v>
      </c>
    </row>
    <row r="3" spans="2:15" x14ac:dyDescent="0.35">
      <c r="B3" s="11" t="s">
        <v>3</v>
      </c>
      <c r="C3" s="11" t="s">
        <v>34</v>
      </c>
      <c r="D3" s="11">
        <v>3</v>
      </c>
      <c r="E3" t="s">
        <v>40</v>
      </c>
      <c r="G3" s="11" t="s">
        <v>3</v>
      </c>
      <c r="H3" s="11" t="s">
        <v>34</v>
      </c>
      <c r="I3" s="11" t="s">
        <v>18</v>
      </c>
      <c r="J3" s="11">
        <f>VLOOKUP(G3,'Lookup untuk Perh Conf'!$K$2:$M$16,2, FALSE)</f>
        <v>2</v>
      </c>
      <c r="K3" s="11">
        <f>VLOOKUP(H3,'Lookup untuk Perh Conf'!$K$2:$M$16,2,FALSE)</f>
        <v>2</v>
      </c>
      <c r="L3" s="11">
        <f>VLOOKUP(I3,'Lookup untuk Perh Conf'!$K$2:$M$16,3,FALSE)</f>
        <v>0.6</v>
      </c>
      <c r="M3" s="13">
        <f>J3/K3</f>
        <v>1</v>
      </c>
      <c r="N3" s="13">
        <f>M3/L3</f>
        <v>1.6666666666666667</v>
      </c>
      <c r="O3" s="11" t="b">
        <f>M3&gt;=0.7</f>
        <v>1</v>
      </c>
    </row>
    <row r="4" spans="2:15" x14ac:dyDescent="0.35">
      <c r="B4" s="11" t="s">
        <v>3</v>
      </c>
      <c r="C4" s="11" t="s">
        <v>35</v>
      </c>
      <c r="D4" s="11">
        <v>3</v>
      </c>
      <c r="E4" t="s">
        <v>40</v>
      </c>
      <c r="G4" s="11" t="s">
        <v>3</v>
      </c>
      <c r="H4" s="11" t="s">
        <v>35</v>
      </c>
      <c r="I4" s="11" t="s">
        <v>16</v>
      </c>
      <c r="J4" s="11">
        <f>VLOOKUP(G4,'Lookup untuk Perh Conf'!$K$2:$M$16,2, FALSE)</f>
        <v>2</v>
      </c>
      <c r="K4" s="11">
        <f>VLOOKUP(H4,'Lookup untuk Perh Conf'!$K$2:$M$16,2,FALSE)</f>
        <v>2</v>
      </c>
      <c r="L4" s="11">
        <f>VLOOKUP(I4,'Lookup untuk Perh Conf'!$K$2:$M$16,3,FALSE)</f>
        <v>0.6</v>
      </c>
      <c r="M4" s="13">
        <f t="shared" ref="M4:M52" si="0">J4/K4</f>
        <v>1</v>
      </c>
      <c r="N4" s="26">
        <f t="shared" ref="N4:N52" si="1">M4/L4</f>
        <v>1.6666666666666667</v>
      </c>
      <c r="O4" s="11" t="b">
        <f t="shared" ref="O4:O52" si="2">M4&gt;=0.7</f>
        <v>1</v>
      </c>
    </row>
    <row r="5" spans="2:15" x14ac:dyDescent="0.35">
      <c r="B5" s="11" t="s">
        <v>3</v>
      </c>
      <c r="C5" s="11" t="s">
        <v>36</v>
      </c>
      <c r="D5" s="11">
        <v>3</v>
      </c>
      <c r="E5" t="s">
        <v>40</v>
      </c>
      <c r="G5" s="11" t="s">
        <v>3</v>
      </c>
      <c r="H5" s="11" t="s">
        <v>36</v>
      </c>
      <c r="I5" s="11" t="s">
        <v>15</v>
      </c>
      <c r="J5" s="11">
        <f>VLOOKUP(G5,'Lookup untuk Perh Conf'!$K$2:$M$16,2, FALSE)</f>
        <v>2</v>
      </c>
      <c r="K5" s="11">
        <f>VLOOKUP(H5,'Lookup untuk Perh Conf'!$K$2:$M$16,2,FALSE)</f>
        <v>2</v>
      </c>
      <c r="L5" s="11">
        <f>VLOOKUP(I5,'Lookup untuk Perh Conf'!$K$2:$M$16,3,FALSE)</f>
        <v>0.8</v>
      </c>
      <c r="M5" s="13">
        <f t="shared" si="0"/>
        <v>1</v>
      </c>
      <c r="N5" s="26">
        <f t="shared" si="1"/>
        <v>1.25</v>
      </c>
      <c r="O5" s="11" t="b">
        <f t="shared" si="2"/>
        <v>1</v>
      </c>
    </row>
    <row r="6" spans="2:15" x14ac:dyDescent="0.35">
      <c r="B6" s="11" t="s">
        <v>3</v>
      </c>
      <c r="C6" s="11" t="s">
        <v>37</v>
      </c>
      <c r="D6" s="11">
        <v>3</v>
      </c>
      <c r="E6" t="s">
        <v>40</v>
      </c>
      <c r="G6" s="11" t="s">
        <v>3</v>
      </c>
      <c r="H6" s="11" t="s">
        <v>37</v>
      </c>
      <c r="I6" s="11" t="s">
        <v>13</v>
      </c>
      <c r="J6" s="11">
        <f>VLOOKUP(G6,'Lookup untuk Perh Conf'!$K$2:$M$16,2, FALSE)</f>
        <v>2</v>
      </c>
      <c r="K6" s="11">
        <f>VLOOKUP(H6,'Lookup untuk Perh Conf'!$K$2:$M$16,2,FALSE)</f>
        <v>2</v>
      </c>
      <c r="L6" s="11">
        <f>VLOOKUP(I6,'Lookup untuk Perh Conf'!$K$2:$M$16,3,FALSE)</f>
        <v>0.8</v>
      </c>
      <c r="M6" s="13">
        <f t="shared" si="0"/>
        <v>1</v>
      </c>
      <c r="N6" s="26">
        <f t="shared" si="1"/>
        <v>1.25</v>
      </c>
      <c r="O6" s="11" t="b">
        <f t="shared" si="2"/>
        <v>1</v>
      </c>
    </row>
    <row r="7" spans="2:15" x14ac:dyDescent="0.35">
      <c r="B7" s="11" t="s">
        <v>3</v>
      </c>
      <c r="C7" s="11" t="s">
        <v>7</v>
      </c>
      <c r="D7" s="11">
        <v>2</v>
      </c>
      <c r="E7" t="s">
        <v>40</v>
      </c>
      <c r="G7" s="11" t="s">
        <v>3</v>
      </c>
      <c r="H7" s="11" t="s">
        <v>18</v>
      </c>
      <c r="I7" s="11" t="s">
        <v>34</v>
      </c>
      <c r="J7" s="11">
        <f>VLOOKUP(G7,'Lookup untuk Perh Conf'!$K$2:$M$16,2, FALSE)</f>
        <v>2</v>
      </c>
      <c r="K7" s="11">
        <f>VLOOKUP(H7,'Lookup untuk Perh Conf'!$K$2:$M$16,2,FALSE)</f>
        <v>3</v>
      </c>
      <c r="L7" s="11">
        <f>VLOOKUP(I7,'Lookup untuk Perh Conf'!$K$2:$M$16,3,FALSE)</f>
        <v>0.4</v>
      </c>
      <c r="M7" s="13">
        <f t="shared" si="0"/>
        <v>0.66666666666666663</v>
      </c>
      <c r="N7" s="26">
        <f t="shared" si="1"/>
        <v>1.6666666666666665</v>
      </c>
      <c r="O7" s="11" t="b">
        <f t="shared" si="2"/>
        <v>0</v>
      </c>
    </row>
    <row r="8" spans="2:15" x14ac:dyDescent="0.35">
      <c r="B8" s="11" t="s">
        <v>3</v>
      </c>
      <c r="C8" s="11" t="s">
        <v>28</v>
      </c>
      <c r="D8" s="11">
        <v>2</v>
      </c>
      <c r="E8" t="s">
        <v>40</v>
      </c>
      <c r="G8" s="11" t="s">
        <v>3</v>
      </c>
      <c r="H8" s="11" t="s">
        <v>16</v>
      </c>
      <c r="I8" s="11" t="s">
        <v>35</v>
      </c>
      <c r="J8" s="11">
        <f>VLOOKUP(G8,'Lookup untuk Perh Conf'!$K$2:$M$16,2, FALSE)</f>
        <v>2</v>
      </c>
      <c r="K8" s="11">
        <f>VLOOKUP(H8,'Lookup untuk Perh Conf'!$K$2:$M$16,2,FALSE)</f>
        <v>3</v>
      </c>
      <c r="L8" s="11">
        <f>VLOOKUP(I8,'Lookup untuk Perh Conf'!$K$2:$M$16,3,FALSE)</f>
        <v>0.4</v>
      </c>
      <c r="M8" s="13">
        <f t="shared" si="0"/>
        <v>0.66666666666666663</v>
      </c>
      <c r="N8" s="26">
        <f t="shared" si="1"/>
        <v>1.6666666666666665</v>
      </c>
      <c r="O8" s="11" t="b">
        <f t="shared" si="2"/>
        <v>0</v>
      </c>
    </row>
    <row r="9" spans="2:15" x14ac:dyDescent="0.35">
      <c r="B9" s="11" t="s">
        <v>3</v>
      </c>
      <c r="C9" s="11" t="s">
        <v>29</v>
      </c>
      <c r="D9" s="11">
        <v>2</v>
      </c>
      <c r="E9" t="s">
        <v>40</v>
      </c>
      <c r="G9" s="11" t="s">
        <v>3</v>
      </c>
      <c r="H9" s="11" t="s">
        <v>15</v>
      </c>
      <c r="I9" s="11" t="s">
        <v>36</v>
      </c>
      <c r="J9" s="11">
        <f>VLOOKUP(G9,'Lookup untuk Perh Conf'!$K$2:$M$16,2, FALSE)</f>
        <v>2</v>
      </c>
      <c r="K9" s="11">
        <f>VLOOKUP(H9,'Lookup untuk Perh Conf'!$K$2:$M$16,2,FALSE)</f>
        <v>4</v>
      </c>
      <c r="L9" s="11">
        <f>VLOOKUP(I9,'Lookup untuk Perh Conf'!$K$2:$M$16,3,FALSE)</f>
        <v>0.4</v>
      </c>
      <c r="M9" s="13">
        <f t="shared" si="0"/>
        <v>0.5</v>
      </c>
      <c r="N9" s="26">
        <f t="shared" si="1"/>
        <v>1.25</v>
      </c>
      <c r="O9" s="11" t="b">
        <f t="shared" si="2"/>
        <v>0</v>
      </c>
    </row>
    <row r="10" spans="2:15" x14ac:dyDescent="0.35">
      <c r="B10" s="11" t="s">
        <v>3</v>
      </c>
      <c r="C10" s="11" t="s">
        <v>30</v>
      </c>
      <c r="D10" s="11">
        <v>2</v>
      </c>
      <c r="E10" t="s">
        <v>41</v>
      </c>
      <c r="G10" s="11" t="s">
        <v>3</v>
      </c>
      <c r="H10" s="11" t="s">
        <v>13</v>
      </c>
      <c r="I10" s="11" t="s">
        <v>37</v>
      </c>
      <c r="J10" s="11">
        <f>VLOOKUP(G10,'Lookup untuk Perh Conf'!$K$2:$M$16,2, FALSE)</f>
        <v>2</v>
      </c>
      <c r="K10" s="11">
        <f>VLOOKUP(H10,'Lookup untuk Perh Conf'!$K$2:$M$16,2,FALSE)</f>
        <v>4</v>
      </c>
      <c r="L10" s="11">
        <f>VLOOKUP(I10,'Lookup untuk Perh Conf'!$K$2:$M$16,3,FALSE)</f>
        <v>0.4</v>
      </c>
      <c r="M10" s="13">
        <f t="shared" si="0"/>
        <v>0.5</v>
      </c>
      <c r="N10" s="26">
        <f t="shared" si="1"/>
        <v>1.25</v>
      </c>
      <c r="O10" s="11" t="b">
        <f t="shared" si="2"/>
        <v>0</v>
      </c>
    </row>
    <row r="11" spans="2:15" x14ac:dyDescent="0.35">
      <c r="B11" s="11" t="s">
        <v>3</v>
      </c>
      <c r="C11" s="11" t="s">
        <v>31</v>
      </c>
      <c r="D11" s="11">
        <v>2</v>
      </c>
      <c r="E11" t="s">
        <v>41</v>
      </c>
      <c r="G11" s="11" t="s">
        <v>3</v>
      </c>
      <c r="H11" s="11" t="s">
        <v>7</v>
      </c>
      <c r="I11" s="11" t="s">
        <v>32</v>
      </c>
      <c r="J11" s="11">
        <f>VLOOKUP(G11,'Lookup untuk Perh Conf'!$K$2:$M$16,2, FALSE)</f>
        <v>2</v>
      </c>
      <c r="K11" s="11">
        <f>VLOOKUP(H11,'Lookup untuk Perh Conf'!$K$2:$M$16,2,FALSE)</f>
        <v>4</v>
      </c>
      <c r="L11" s="11">
        <f>VLOOKUP(I11,'Lookup untuk Perh Conf'!$K$2:$M$16,3,FALSE)</f>
        <v>0.6</v>
      </c>
      <c r="M11" s="13">
        <f t="shared" si="0"/>
        <v>0.5</v>
      </c>
      <c r="N11" s="26">
        <f t="shared" si="1"/>
        <v>0.83333333333333337</v>
      </c>
      <c r="O11" s="11" t="b">
        <f t="shared" si="2"/>
        <v>0</v>
      </c>
    </row>
    <row r="12" spans="2:15" x14ac:dyDescent="0.35">
      <c r="B12" s="11" t="s">
        <v>3</v>
      </c>
      <c r="C12" s="11" t="s">
        <v>32</v>
      </c>
      <c r="D12" s="11">
        <v>2</v>
      </c>
      <c r="E12" t="s">
        <v>41</v>
      </c>
      <c r="G12" s="11" t="s">
        <v>3</v>
      </c>
      <c r="H12" s="11" t="s">
        <v>32</v>
      </c>
      <c r="I12" s="11" t="s">
        <v>7</v>
      </c>
      <c r="J12" s="11">
        <f>VLOOKUP(G12,'Lookup untuk Perh Conf'!$K$2:$M$16,2, FALSE)</f>
        <v>2</v>
      </c>
      <c r="K12" s="11">
        <f>VLOOKUP(H12,'Lookup untuk Perh Conf'!$K$2:$M$16,2,FALSE)</f>
        <v>3</v>
      </c>
      <c r="L12" s="11">
        <f>VLOOKUP(I12,'Lookup untuk Perh Conf'!$K$2:$M$16,3,FALSE)</f>
        <v>0.8</v>
      </c>
      <c r="M12" s="13">
        <f t="shared" si="0"/>
        <v>0.66666666666666663</v>
      </c>
      <c r="N12" s="26">
        <f t="shared" si="1"/>
        <v>0.83333333333333326</v>
      </c>
      <c r="O12" s="11" t="b">
        <f t="shared" si="2"/>
        <v>0</v>
      </c>
    </row>
    <row r="13" spans="2:15" x14ac:dyDescent="0.35">
      <c r="B13" s="11" t="s">
        <v>3</v>
      </c>
      <c r="C13" s="11" t="s">
        <v>13</v>
      </c>
      <c r="D13" s="11">
        <v>1</v>
      </c>
      <c r="E13" t="s">
        <v>41</v>
      </c>
      <c r="G13" s="11" t="s">
        <v>3</v>
      </c>
      <c r="H13" s="11" t="s">
        <v>28</v>
      </c>
      <c r="I13" s="11" t="s">
        <v>31</v>
      </c>
      <c r="J13" s="11">
        <f>VLOOKUP(G13,'Lookup untuk Perh Conf'!$K$2:$M$16,2, FALSE)</f>
        <v>2</v>
      </c>
      <c r="K13" s="11">
        <f>VLOOKUP(H13,'Lookup untuk Perh Conf'!$K$2:$M$16,2,FALSE)</f>
        <v>2</v>
      </c>
      <c r="L13" s="11">
        <f>VLOOKUP(I13,'Lookup untuk Perh Conf'!$K$2:$M$16,3,FALSE)</f>
        <v>0.4</v>
      </c>
      <c r="M13" s="13">
        <f t="shared" si="0"/>
        <v>1</v>
      </c>
      <c r="N13" s="26">
        <f t="shared" si="1"/>
        <v>2.5</v>
      </c>
      <c r="O13" s="11" t="b">
        <f t="shared" si="2"/>
        <v>1</v>
      </c>
    </row>
    <row r="14" spans="2:15" x14ac:dyDescent="0.35">
      <c r="B14" s="11" t="s">
        <v>3</v>
      </c>
      <c r="C14" s="11" t="s">
        <v>15</v>
      </c>
      <c r="D14" s="11">
        <v>1</v>
      </c>
      <c r="E14" t="s">
        <v>41</v>
      </c>
      <c r="G14" s="11" t="s">
        <v>3</v>
      </c>
      <c r="H14" s="11" t="s">
        <v>31</v>
      </c>
      <c r="I14" s="11" t="s">
        <v>28</v>
      </c>
      <c r="J14" s="11">
        <f>VLOOKUP(G14,'Lookup untuk Perh Conf'!$K$2:$M$16,2, FALSE)</f>
        <v>2</v>
      </c>
      <c r="K14" s="11">
        <f>VLOOKUP(H14,'Lookup untuk Perh Conf'!$K$2:$M$16,2,FALSE)</f>
        <v>2</v>
      </c>
      <c r="L14" s="11">
        <f>VLOOKUP(I14,'Lookup untuk Perh Conf'!$K$2:$M$16,3,FALSE)</f>
        <v>0.4</v>
      </c>
      <c r="M14" s="13">
        <f t="shared" si="0"/>
        <v>1</v>
      </c>
      <c r="N14" s="26">
        <f t="shared" si="1"/>
        <v>2.5</v>
      </c>
      <c r="O14" s="11" t="b">
        <f t="shared" si="2"/>
        <v>1</v>
      </c>
    </row>
    <row r="15" spans="2:15" x14ac:dyDescent="0.35">
      <c r="B15" s="11" t="s">
        <v>3</v>
      </c>
      <c r="C15" s="11" t="s">
        <v>16</v>
      </c>
      <c r="D15" s="11">
        <v>1</v>
      </c>
      <c r="E15" t="s">
        <v>41</v>
      </c>
      <c r="G15" s="11" t="s">
        <v>3</v>
      </c>
      <c r="H15" s="11" t="s">
        <v>29</v>
      </c>
      <c r="I15" s="11" t="s">
        <v>30</v>
      </c>
      <c r="J15" s="11">
        <f>VLOOKUP(G15,'Lookup untuk Perh Conf'!$K$2:$M$16,2, FALSE)</f>
        <v>2</v>
      </c>
      <c r="K15" s="11">
        <f>VLOOKUP(H15,'Lookup untuk Perh Conf'!$K$2:$M$16,2,FALSE)</f>
        <v>2</v>
      </c>
      <c r="L15" s="11">
        <f>VLOOKUP(I15,'Lookup untuk Perh Conf'!$K$2:$M$16,3,FALSE)</f>
        <v>0.4</v>
      </c>
      <c r="M15" s="13">
        <f t="shared" si="0"/>
        <v>1</v>
      </c>
      <c r="N15" s="26">
        <f t="shared" si="1"/>
        <v>2.5</v>
      </c>
      <c r="O15" s="11" t="b">
        <f t="shared" si="2"/>
        <v>1</v>
      </c>
    </row>
    <row r="16" spans="2:15" x14ac:dyDescent="0.35">
      <c r="B16" s="11" t="s">
        <v>3</v>
      </c>
      <c r="C16" s="11" t="s">
        <v>18</v>
      </c>
      <c r="D16" s="11">
        <v>1</v>
      </c>
      <c r="E16" t="s">
        <v>41</v>
      </c>
      <c r="G16" s="11" t="s">
        <v>3</v>
      </c>
      <c r="H16" s="11" t="s">
        <v>30</v>
      </c>
      <c r="I16" s="11" t="s">
        <v>29</v>
      </c>
      <c r="J16" s="11">
        <f>VLOOKUP(G16,'Lookup untuk Perh Conf'!$K$2:$M$16,2, FALSE)</f>
        <v>2</v>
      </c>
      <c r="K16" s="11">
        <f>VLOOKUP(H16,'Lookup untuk Perh Conf'!$K$2:$M$16,2,FALSE)</f>
        <v>2</v>
      </c>
      <c r="L16" s="11">
        <f>VLOOKUP(I16,'Lookup untuk Perh Conf'!$K$2:$M$16,3,FALSE)</f>
        <v>0.4</v>
      </c>
      <c r="M16" s="13">
        <f t="shared" si="0"/>
        <v>1</v>
      </c>
      <c r="N16" s="26">
        <f t="shared" si="1"/>
        <v>2.5</v>
      </c>
      <c r="O16" s="11" t="b">
        <f t="shared" si="2"/>
        <v>1</v>
      </c>
    </row>
    <row r="17" spans="2:15" x14ac:dyDescent="0.35">
      <c r="B17" s="15" t="s">
        <v>34</v>
      </c>
      <c r="C17" s="15" t="s">
        <v>7</v>
      </c>
      <c r="D17" s="15">
        <v>2</v>
      </c>
      <c r="E17" t="s">
        <v>40</v>
      </c>
      <c r="G17" s="15" t="s">
        <v>34</v>
      </c>
      <c r="H17" s="15" t="s">
        <v>7</v>
      </c>
      <c r="I17" s="15" t="s">
        <v>16</v>
      </c>
      <c r="J17" s="15">
        <f>VLOOKUP(G17,'Lookup untuk Perh Conf'!$K$2:$M$16,2, FALSE)</f>
        <v>2</v>
      </c>
      <c r="K17" s="15">
        <f>VLOOKUP(H17,'Lookup untuk Perh Conf'!$K$2:$M$16,2,FALSE)</f>
        <v>4</v>
      </c>
      <c r="L17" s="15">
        <f>VLOOKUP(I17,'Lookup untuk Perh Conf'!$K$2:$M$16,3,FALSE)</f>
        <v>0.6</v>
      </c>
      <c r="M17" s="39">
        <f t="shared" si="0"/>
        <v>0.5</v>
      </c>
      <c r="N17" s="27">
        <f t="shared" si="1"/>
        <v>0.83333333333333337</v>
      </c>
      <c r="O17" s="15" t="b">
        <f t="shared" si="2"/>
        <v>0</v>
      </c>
    </row>
    <row r="18" spans="2:15" x14ac:dyDescent="0.35">
      <c r="B18" s="15" t="s">
        <v>34</v>
      </c>
      <c r="C18" s="15" t="s">
        <v>28</v>
      </c>
      <c r="D18" s="15">
        <v>2</v>
      </c>
      <c r="E18" t="s">
        <v>40</v>
      </c>
      <c r="G18" s="15" t="s">
        <v>34</v>
      </c>
      <c r="H18" s="15" t="s">
        <v>16</v>
      </c>
      <c r="I18" s="15" t="s">
        <v>7</v>
      </c>
      <c r="J18" s="15">
        <f>VLOOKUP(G18,'Lookup untuk Perh Conf'!$K$2:$M$16,2, FALSE)</f>
        <v>2</v>
      </c>
      <c r="K18" s="15">
        <f>VLOOKUP(H18,'Lookup untuk Perh Conf'!$K$2:$M$16,2,FALSE)</f>
        <v>3</v>
      </c>
      <c r="L18" s="15">
        <f>VLOOKUP(I18,'Lookup untuk Perh Conf'!$K$2:$M$16,3,FALSE)</f>
        <v>0.8</v>
      </c>
      <c r="M18" s="39">
        <f t="shared" si="0"/>
        <v>0.66666666666666663</v>
      </c>
      <c r="N18" s="27">
        <f t="shared" si="1"/>
        <v>0.83333333333333326</v>
      </c>
      <c r="O18" s="15" t="b">
        <f t="shared" si="2"/>
        <v>0</v>
      </c>
    </row>
    <row r="19" spans="2:15" x14ac:dyDescent="0.35">
      <c r="B19" s="15" t="s">
        <v>34</v>
      </c>
      <c r="C19" s="15" t="s">
        <v>30</v>
      </c>
      <c r="D19" s="15">
        <v>2</v>
      </c>
      <c r="E19" t="s">
        <v>40</v>
      </c>
      <c r="G19" s="15" t="s">
        <v>34</v>
      </c>
      <c r="H19" s="15" t="s">
        <v>28</v>
      </c>
      <c r="I19" s="15" t="s">
        <v>15</v>
      </c>
      <c r="J19" s="15">
        <f>VLOOKUP(G19,'Lookup untuk Perh Conf'!$K$2:$M$16,2, FALSE)</f>
        <v>2</v>
      </c>
      <c r="K19" s="15">
        <f>VLOOKUP(H19,'Lookup untuk Perh Conf'!$K$2:$M$16,2,FALSE)</f>
        <v>2</v>
      </c>
      <c r="L19" s="15">
        <f>VLOOKUP(I19,'Lookup untuk Perh Conf'!$K$2:$M$16,3,FALSE)</f>
        <v>0.8</v>
      </c>
      <c r="M19" s="39">
        <f t="shared" si="0"/>
        <v>1</v>
      </c>
      <c r="N19" s="27">
        <f t="shared" si="1"/>
        <v>1.25</v>
      </c>
      <c r="O19" s="15" t="b">
        <f t="shared" si="2"/>
        <v>1</v>
      </c>
    </row>
    <row r="20" spans="2:15" x14ac:dyDescent="0.35">
      <c r="B20" s="16" t="s">
        <v>35</v>
      </c>
      <c r="C20" s="16" t="s">
        <v>7</v>
      </c>
      <c r="D20" s="16">
        <v>2</v>
      </c>
      <c r="E20" t="s">
        <v>40</v>
      </c>
      <c r="G20" s="15" t="s">
        <v>34</v>
      </c>
      <c r="H20" s="15" t="s">
        <v>15</v>
      </c>
      <c r="I20" s="15" t="s">
        <v>28</v>
      </c>
      <c r="J20" s="15">
        <f>VLOOKUP(G20,'Lookup untuk Perh Conf'!$K$2:$M$16,2, FALSE)</f>
        <v>2</v>
      </c>
      <c r="K20" s="15">
        <f>VLOOKUP(H20,'Lookup untuk Perh Conf'!$K$2:$M$16,2,FALSE)</f>
        <v>4</v>
      </c>
      <c r="L20" s="15">
        <f>VLOOKUP(I20,'Lookup untuk Perh Conf'!$K$2:$M$16,3,FALSE)</f>
        <v>0.4</v>
      </c>
      <c r="M20" s="39">
        <f t="shared" si="0"/>
        <v>0.5</v>
      </c>
      <c r="N20" s="27">
        <f t="shared" si="1"/>
        <v>1.25</v>
      </c>
      <c r="O20" s="15" t="b">
        <f t="shared" si="2"/>
        <v>0</v>
      </c>
    </row>
    <row r="21" spans="2:15" x14ac:dyDescent="0.35">
      <c r="B21" s="16" t="s">
        <v>35</v>
      </c>
      <c r="C21" s="16" t="s">
        <v>29</v>
      </c>
      <c r="D21" s="16">
        <v>2</v>
      </c>
      <c r="E21" t="s">
        <v>40</v>
      </c>
      <c r="G21" s="15" t="s">
        <v>34</v>
      </c>
      <c r="H21" s="15" t="s">
        <v>30</v>
      </c>
      <c r="I21" s="15" t="s">
        <v>13</v>
      </c>
      <c r="J21" s="15">
        <f>VLOOKUP(G21,'Lookup untuk Perh Conf'!$K$2:$M$16,2, FALSE)</f>
        <v>2</v>
      </c>
      <c r="K21" s="15">
        <f>VLOOKUP(H21,'Lookup untuk Perh Conf'!$K$2:$M$16,2,FALSE)</f>
        <v>2</v>
      </c>
      <c r="L21" s="15">
        <f>VLOOKUP(I21,'Lookup untuk Perh Conf'!$K$2:$M$16,3,FALSE)</f>
        <v>0.8</v>
      </c>
      <c r="M21" s="39">
        <f t="shared" si="0"/>
        <v>1</v>
      </c>
      <c r="N21" s="27">
        <f t="shared" si="1"/>
        <v>1.25</v>
      </c>
      <c r="O21" s="15" t="b">
        <f t="shared" si="2"/>
        <v>1</v>
      </c>
    </row>
    <row r="22" spans="2:15" x14ac:dyDescent="0.35">
      <c r="B22" s="16" t="s">
        <v>35</v>
      </c>
      <c r="C22" s="16" t="s">
        <v>31</v>
      </c>
      <c r="D22" s="16">
        <v>2</v>
      </c>
      <c r="E22" t="s">
        <v>40</v>
      </c>
      <c r="G22" s="15" t="s">
        <v>34</v>
      </c>
      <c r="H22" s="15" t="s">
        <v>13</v>
      </c>
      <c r="I22" s="15" t="s">
        <v>30</v>
      </c>
      <c r="J22" s="15">
        <f>VLOOKUP(G22,'Lookup untuk Perh Conf'!$K$2:$M$16,2, FALSE)</f>
        <v>2</v>
      </c>
      <c r="K22" s="15">
        <f>VLOOKUP(H22,'Lookup untuk Perh Conf'!$K$2:$M$16,2,FALSE)</f>
        <v>4</v>
      </c>
      <c r="L22" s="15">
        <f>VLOOKUP(I22,'Lookup untuk Perh Conf'!$K$2:$M$16,3,FALSE)</f>
        <v>0.4</v>
      </c>
      <c r="M22" s="39">
        <f t="shared" si="0"/>
        <v>0.5</v>
      </c>
      <c r="N22" s="27">
        <f t="shared" si="1"/>
        <v>1.25</v>
      </c>
      <c r="O22" s="15" t="b">
        <f t="shared" si="2"/>
        <v>0</v>
      </c>
    </row>
    <row r="23" spans="2:15" x14ac:dyDescent="0.35">
      <c r="B23" s="17" t="s">
        <v>36</v>
      </c>
      <c r="C23" s="17" t="s">
        <v>28</v>
      </c>
      <c r="D23" s="17">
        <v>2</v>
      </c>
      <c r="E23" t="s">
        <v>40</v>
      </c>
      <c r="G23" s="16" t="s">
        <v>35</v>
      </c>
      <c r="H23" s="16" t="s">
        <v>7</v>
      </c>
      <c r="I23" s="16" t="s">
        <v>18</v>
      </c>
      <c r="J23" s="16">
        <f>VLOOKUP(G23,'Lookup untuk Perh Conf'!$K$2:$M$16,2, FALSE)</f>
        <v>2</v>
      </c>
      <c r="K23" s="16">
        <f>VLOOKUP(H23,'Lookup untuk Perh Conf'!$K$2:$M$16,2,FALSE)</f>
        <v>4</v>
      </c>
      <c r="L23" s="16">
        <f>VLOOKUP(I23,'Lookup untuk Perh Conf'!$K$2:$M$16,3,FALSE)</f>
        <v>0.6</v>
      </c>
      <c r="M23" s="40">
        <f t="shared" si="0"/>
        <v>0.5</v>
      </c>
      <c r="N23" s="28">
        <f t="shared" si="1"/>
        <v>0.83333333333333337</v>
      </c>
      <c r="O23" s="16" t="b">
        <f t="shared" si="2"/>
        <v>0</v>
      </c>
    </row>
    <row r="24" spans="2:15" x14ac:dyDescent="0.35">
      <c r="B24" s="17" t="s">
        <v>36</v>
      </c>
      <c r="C24" s="17" t="s">
        <v>29</v>
      </c>
      <c r="D24" s="17">
        <v>2</v>
      </c>
      <c r="E24" t="s">
        <v>40</v>
      </c>
      <c r="G24" s="16" t="s">
        <v>35</v>
      </c>
      <c r="H24" s="16" t="s">
        <v>18</v>
      </c>
      <c r="I24" s="16" t="s">
        <v>7</v>
      </c>
      <c r="J24" s="16">
        <f>VLOOKUP(G24,'Lookup untuk Perh Conf'!$K$2:$M$16,2, FALSE)</f>
        <v>2</v>
      </c>
      <c r="K24" s="16">
        <f>VLOOKUP(H24,'Lookup untuk Perh Conf'!$K$2:$M$16,2,FALSE)</f>
        <v>3</v>
      </c>
      <c r="L24" s="16">
        <f>VLOOKUP(I24,'Lookup untuk Perh Conf'!$K$2:$M$16,3,FALSE)</f>
        <v>0.8</v>
      </c>
      <c r="M24" s="40">
        <f t="shared" si="0"/>
        <v>0.66666666666666663</v>
      </c>
      <c r="N24" s="28">
        <f t="shared" si="1"/>
        <v>0.83333333333333326</v>
      </c>
      <c r="O24" s="16" t="b">
        <f t="shared" si="2"/>
        <v>0</v>
      </c>
    </row>
    <row r="25" spans="2:15" x14ac:dyDescent="0.35">
      <c r="B25" s="17" t="s">
        <v>36</v>
      </c>
      <c r="C25" s="17" t="s">
        <v>32</v>
      </c>
      <c r="D25" s="17">
        <v>2</v>
      </c>
      <c r="E25" t="s">
        <v>40</v>
      </c>
      <c r="G25" s="16" t="s">
        <v>35</v>
      </c>
      <c r="H25" s="16" t="s">
        <v>29</v>
      </c>
      <c r="I25" s="16" t="s">
        <v>15</v>
      </c>
      <c r="J25" s="16">
        <f>VLOOKUP(G25,'Lookup untuk Perh Conf'!$K$2:$M$16,2, FALSE)</f>
        <v>2</v>
      </c>
      <c r="K25" s="16">
        <f>VLOOKUP(H25,'Lookup untuk Perh Conf'!$K$2:$M$16,2,FALSE)</f>
        <v>2</v>
      </c>
      <c r="L25" s="16">
        <f>VLOOKUP(I25,'Lookup untuk Perh Conf'!$K$2:$M$16,3,FALSE)</f>
        <v>0.8</v>
      </c>
      <c r="M25" s="40">
        <f t="shared" si="0"/>
        <v>1</v>
      </c>
      <c r="N25" s="28">
        <f t="shared" si="1"/>
        <v>1.25</v>
      </c>
      <c r="O25" s="16" t="b">
        <f t="shared" si="2"/>
        <v>1</v>
      </c>
    </row>
    <row r="26" spans="2:15" x14ac:dyDescent="0.35">
      <c r="B26" s="18" t="s">
        <v>37</v>
      </c>
      <c r="C26" s="18" t="s">
        <v>30</v>
      </c>
      <c r="D26" s="18">
        <v>2</v>
      </c>
      <c r="E26" t="s">
        <v>40</v>
      </c>
      <c r="G26" s="16" t="s">
        <v>35</v>
      </c>
      <c r="H26" s="16" t="s">
        <v>15</v>
      </c>
      <c r="I26" s="16" t="s">
        <v>29</v>
      </c>
      <c r="J26" s="16">
        <f>VLOOKUP(G26,'Lookup untuk Perh Conf'!$K$2:$M$16,2, FALSE)</f>
        <v>2</v>
      </c>
      <c r="K26" s="16">
        <f>VLOOKUP(H26,'Lookup untuk Perh Conf'!$K$2:$M$16,2,FALSE)</f>
        <v>4</v>
      </c>
      <c r="L26" s="16">
        <f>VLOOKUP(I26,'Lookup untuk Perh Conf'!$K$2:$M$16,3,FALSE)</f>
        <v>0.4</v>
      </c>
      <c r="M26" s="40">
        <f t="shared" si="0"/>
        <v>0.5</v>
      </c>
      <c r="N26" s="28">
        <f t="shared" si="1"/>
        <v>1.25</v>
      </c>
      <c r="O26" s="16" t="b">
        <f t="shared" si="2"/>
        <v>0</v>
      </c>
    </row>
    <row r="27" spans="2:15" x14ac:dyDescent="0.35">
      <c r="B27" s="18" t="s">
        <v>37</v>
      </c>
      <c r="C27" s="18" t="s">
        <v>31</v>
      </c>
      <c r="D27" s="18">
        <v>2</v>
      </c>
      <c r="E27" t="s">
        <v>40</v>
      </c>
      <c r="G27" s="16" t="s">
        <v>35</v>
      </c>
      <c r="H27" s="16" t="s">
        <v>31</v>
      </c>
      <c r="I27" s="16" t="s">
        <v>13</v>
      </c>
      <c r="J27" s="16">
        <f>VLOOKUP(G27,'Lookup untuk Perh Conf'!$K$2:$M$16,2, FALSE)</f>
        <v>2</v>
      </c>
      <c r="K27" s="16">
        <f>VLOOKUP(H27,'Lookup untuk Perh Conf'!$K$2:$M$16,2,FALSE)</f>
        <v>2</v>
      </c>
      <c r="L27" s="16">
        <f>VLOOKUP(I27,'Lookup untuk Perh Conf'!$K$2:$M$16,3,FALSE)</f>
        <v>0.8</v>
      </c>
      <c r="M27" s="40">
        <f t="shared" si="0"/>
        <v>1</v>
      </c>
      <c r="N27" s="28">
        <f t="shared" si="1"/>
        <v>1.25</v>
      </c>
      <c r="O27" s="16" t="b">
        <f t="shared" si="2"/>
        <v>1</v>
      </c>
    </row>
    <row r="28" spans="2:15" x14ac:dyDescent="0.35">
      <c r="B28" s="18" t="s">
        <v>37</v>
      </c>
      <c r="C28" s="18" t="s">
        <v>32</v>
      </c>
      <c r="D28" s="18">
        <v>2</v>
      </c>
      <c r="E28" t="s">
        <v>40</v>
      </c>
      <c r="G28" s="16" t="s">
        <v>35</v>
      </c>
      <c r="H28" s="16" t="s">
        <v>13</v>
      </c>
      <c r="I28" s="16" t="s">
        <v>31</v>
      </c>
      <c r="J28" s="16">
        <f>VLOOKUP(G28,'Lookup untuk Perh Conf'!$K$2:$M$16,2, FALSE)</f>
        <v>2</v>
      </c>
      <c r="K28" s="16">
        <f>VLOOKUP(H28,'Lookup untuk Perh Conf'!$K$2:$M$16,2,FALSE)</f>
        <v>4</v>
      </c>
      <c r="L28" s="16">
        <f>VLOOKUP(I28,'Lookup untuk Perh Conf'!$K$2:$M$16,3,FALSE)</f>
        <v>0.4</v>
      </c>
      <c r="M28" s="40">
        <f t="shared" si="0"/>
        <v>0.5</v>
      </c>
      <c r="N28" s="28">
        <f t="shared" si="1"/>
        <v>1.25</v>
      </c>
      <c r="O28" s="16" t="b">
        <f t="shared" si="2"/>
        <v>0</v>
      </c>
    </row>
    <row r="29" spans="2:15" x14ac:dyDescent="0.35">
      <c r="B29" s="19" t="s">
        <v>7</v>
      </c>
      <c r="C29" s="19" t="s">
        <v>13</v>
      </c>
      <c r="D29" s="19">
        <v>1</v>
      </c>
      <c r="E29" t="s">
        <v>40</v>
      </c>
      <c r="G29" s="17" t="s">
        <v>36</v>
      </c>
      <c r="H29" s="17" t="s">
        <v>28</v>
      </c>
      <c r="I29" s="17" t="s">
        <v>18</v>
      </c>
      <c r="J29" s="17">
        <f>VLOOKUP(G29,'Lookup untuk Perh Conf'!$K$2:$M$16,2, FALSE)</f>
        <v>2</v>
      </c>
      <c r="K29" s="17">
        <f>VLOOKUP(H29,'Lookup untuk Perh Conf'!$K$2:$M$16,2,FALSE)</f>
        <v>2</v>
      </c>
      <c r="L29" s="17">
        <f>VLOOKUP(I29,'Lookup untuk Perh Conf'!$K$2:$M$16,3,FALSE)</f>
        <v>0.6</v>
      </c>
      <c r="M29" s="41">
        <f t="shared" si="0"/>
        <v>1</v>
      </c>
      <c r="N29" s="29">
        <f t="shared" si="1"/>
        <v>1.6666666666666667</v>
      </c>
      <c r="O29" s="17" t="b">
        <f t="shared" si="2"/>
        <v>1</v>
      </c>
    </row>
    <row r="30" spans="2:15" x14ac:dyDescent="0.35">
      <c r="B30" s="19" t="s">
        <v>7</v>
      </c>
      <c r="C30" s="19" t="s">
        <v>15</v>
      </c>
      <c r="D30" s="19">
        <v>1</v>
      </c>
      <c r="E30" t="s">
        <v>41</v>
      </c>
      <c r="G30" s="17" t="s">
        <v>36</v>
      </c>
      <c r="H30" s="17" t="s">
        <v>18</v>
      </c>
      <c r="I30" s="17" t="s">
        <v>28</v>
      </c>
      <c r="J30" s="17">
        <f>VLOOKUP(G30,'Lookup untuk Perh Conf'!$K$2:$M$16,2, FALSE)</f>
        <v>2</v>
      </c>
      <c r="K30" s="17">
        <f>VLOOKUP(H30,'Lookup untuk Perh Conf'!$K$2:$M$16,2,FALSE)</f>
        <v>3</v>
      </c>
      <c r="L30" s="17">
        <f>VLOOKUP(I30,'Lookup untuk Perh Conf'!$K$2:$M$16,3,FALSE)</f>
        <v>0.4</v>
      </c>
      <c r="M30" s="41">
        <f t="shared" si="0"/>
        <v>0.66666666666666663</v>
      </c>
      <c r="N30" s="29">
        <f t="shared" si="1"/>
        <v>1.6666666666666665</v>
      </c>
      <c r="O30" s="17" t="b">
        <f t="shared" si="2"/>
        <v>0</v>
      </c>
    </row>
    <row r="31" spans="2:15" x14ac:dyDescent="0.35">
      <c r="B31" s="21" t="s">
        <v>28</v>
      </c>
      <c r="C31" s="21" t="s">
        <v>13</v>
      </c>
      <c r="D31" s="21">
        <v>1</v>
      </c>
      <c r="E31" t="s">
        <v>40</v>
      </c>
      <c r="G31" s="17" t="s">
        <v>36</v>
      </c>
      <c r="H31" s="17" t="s">
        <v>29</v>
      </c>
      <c r="I31" s="17" t="s">
        <v>16</v>
      </c>
      <c r="J31" s="17">
        <f>VLOOKUP(G31,'Lookup untuk Perh Conf'!$K$2:$M$16,2, FALSE)</f>
        <v>2</v>
      </c>
      <c r="K31" s="17">
        <f>VLOOKUP(H31,'Lookup untuk Perh Conf'!$K$2:$M$16,2,FALSE)</f>
        <v>2</v>
      </c>
      <c r="L31" s="17">
        <f>VLOOKUP(I31,'Lookup untuk Perh Conf'!$K$2:$M$16,3,FALSE)</f>
        <v>0.6</v>
      </c>
      <c r="M31" s="41">
        <f t="shared" si="0"/>
        <v>1</v>
      </c>
      <c r="N31" s="29">
        <f t="shared" si="1"/>
        <v>1.6666666666666667</v>
      </c>
      <c r="O31" s="17" t="b">
        <f t="shared" si="2"/>
        <v>1</v>
      </c>
    </row>
    <row r="32" spans="2:15" x14ac:dyDescent="0.35">
      <c r="B32" s="21" t="s">
        <v>28</v>
      </c>
      <c r="C32" s="21" t="s">
        <v>16</v>
      </c>
      <c r="D32" s="21">
        <v>1</v>
      </c>
      <c r="E32" t="s">
        <v>41</v>
      </c>
      <c r="G32" s="17" t="s">
        <v>36</v>
      </c>
      <c r="H32" s="17" t="s">
        <v>16</v>
      </c>
      <c r="I32" s="17" t="s">
        <v>29</v>
      </c>
      <c r="J32" s="17">
        <f>VLOOKUP(G32,'Lookup untuk Perh Conf'!$K$2:$M$16,2, FALSE)</f>
        <v>2</v>
      </c>
      <c r="K32" s="17">
        <f>VLOOKUP(H32,'Lookup untuk Perh Conf'!$K$2:$M$16,2,FALSE)</f>
        <v>3</v>
      </c>
      <c r="L32" s="17">
        <f>VLOOKUP(I32,'Lookup untuk Perh Conf'!$K$2:$M$16,3,FALSE)</f>
        <v>0.4</v>
      </c>
      <c r="M32" s="41">
        <f t="shared" si="0"/>
        <v>0.66666666666666663</v>
      </c>
      <c r="N32" s="29">
        <f t="shared" si="1"/>
        <v>1.6666666666666665</v>
      </c>
      <c r="O32" s="17" t="b">
        <f t="shared" si="2"/>
        <v>0</v>
      </c>
    </row>
    <row r="33" spans="2:15" x14ac:dyDescent="0.35">
      <c r="B33" s="22" t="s">
        <v>29</v>
      </c>
      <c r="C33" s="22" t="s">
        <v>13</v>
      </c>
      <c r="D33" s="22">
        <v>1</v>
      </c>
      <c r="E33" t="s">
        <v>40</v>
      </c>
      <c r="G33" s="17" t="s">
        <v>36</v>
      </c>
      <c r="H33" s="17" t="s">
        <v>32</v>
      </c>
      <c r="I33" s="17" t="s">
        <v>13</v>
      </c>
      <c r="J33" s="17">
        <f>VLOOKUP(G33,'Lookup untuk Perh Conf'!$K$2:$M$16,2, FALSE)</f>
        <v>2</v>
      </c>
      <c r="K33" s="17">
        <f>VLOOKUP(H33,'Lookup untuk Perh Conf'!$K$2:$M$16,2,FALSE)</f>
        <v>3</v>
      </c>
      <c r="L33" s="17">
        <f>VLOOKUP(I33,'Lookup untuk Perh Conf'!$K$2:$M$16,3,FALSE)</f>
        <v>0.8</v>
      </c>
      <c r="M33" s="41">
        <f t="shared" si="0"/>
        <v>0.66666666666666663</v>
      </c>
      <c r="N33" s="29">
        <f t="shared" si="1"/>
        <v>0.83333333333333326</v>
      </c>
      <c r="O33" s="17" t="b">
        <f t="shared" si="2"/>
        <v>0</v>
      </c>
    </row>
    <row r="34" spans="2:15" x14ac:dyDescent="0.35">
      <c r="B34" s="22" t="s">
        <v>29</v>
      </c>
      <c r="C34" s="22" t="s">
        <v>18</v>
      </c>
      <c r="D34" s="22">
        <v>1</v>
      </c>
      <c r="E34" t="s">
        <v>41</v>
      </c>
      <c r="G34" s="17" t="s">
        <v>36</v>
      </c>
      <c r="H34" s="17" t="s">
        <v>13</v>
      </c>
      <c r="I34" s="17" t="s">
        <v>32</v>
      </c>
      <c r="J34" s="17">
        <f>VLOOKUP(G34,'Lookup untuk Perh Conf'!$K$2:$M$16,2, FALSE)</f>
        <v>2</v>
      </c>
      <c r="K34" s="17">
        <f>VLOOKUP(H34,'Lookup untuk Perh Conf'!$K$2:$M$16,2,FALSE)</f>
        <v>4</v>
      </c>
      <c r="L34" s="17">
        <f>VLOOKUP(I34,'Lookup untuk Perh Conf'!$K$2:$M$16,3,FALSE)</f>
        <v>0.6</v>
      </c>
      <c r="M34" s="41">
        <f t="shared" si="0"/>
        <v>0.5</v>
      </c>
      <c r="N34" s="29">
        <f t="shared" si="1"/>
        <v>0.83333333333333337</v>
      </c>
      <c r="O34" s="17" t="b">
        <f t="shared" si="2"/>
        <v>0</v>
      </c>
    </row>
    <row r="35" spans="2:15" x14ac:dyDescent="0.35">
      <c r="B35" s="23" t="s">
        <v>30</v>
      </c>
      <c r="C35" s="23" t="s">
        <v>15</v>
      </c>
      <c r="D35" s="23">
        <v>1</v>
      </c>
      <c r="E35" t="s">
        <v>40</v>
      </c>
      <c r="G35" s="18" t="s">
        <v>37</v>
      </c>
      <c r="H35" s="18" t="s">
        <v>30</v>
      </c>
      <c r="I35" s="18" t="s">
        <v>18</v>
      </c>
      <c r="J35" s="18">
        <f>VLOOKUP(G35,'Lookup untuk Perh Conf'!$K$2:$M$16,2, FALSE)</f>
        <v>2</v>
      </c>
      <c r="K35" s="18">
        <f>VLOOKUP(H35,'Lookup untuk Perh Conf'!$K$2:$M$16,2,FALSE)</f>
        <v>2</v>
      </c>
      <c r="L35" s="18">
        <f>VLOOKUP(I35,'Lookup untuk Perh Conf'!$K$2:$M$16,3,FALSE)</f>
        <v>0.6</v>
      </c>
      <c r="M35" s="42">
        <f t="shared" si="0"/>
        <v>1</v>
      </c>
      <c r="N35" s="30">
        <f t="shared" si="1"/>
        <v>1.6666666666666667</v>
      </c>
      <c r="O35" s="18" t="b">
        <f t="shared" si="2"/>
        <v>1</v>
      </c>
    </row>
    <row r="36" spans="2:15" x14ac:dyDescent="0.35">
      <c r="B36" s="23" t="s">
        <v>30</v>
      </c>
      <c r="C36" s="23" t="s">
        <v>16</v>
      </c>
      <c r="D36" s="23">
        <v>1</v>
      </c>
      <c r="E36" t="s">
        <v>41</v>
      </c>
      <c r="G36" s="18" t="s">
        <v>37</v>
      </c>
      <c r="H36" s="18" t="s">
        <v>18</v>
      </c>
      <c r="I36" s="18" t="s">
        <v>30</v>
      </c>
      <c r="J36" s="18">
        <f>VLOOKUP(G36,'Lookup untuk Perh Conf'!$K$2:$M$16,2, FALSE)</f>
        <v>2</v>
      </c>
      <c r="K36" s="18">
        <f>VLOOKUP(H36,'Lookup untuk Perh Conf'!$K$2:$M$16,2,FALSE)</f>
        <v>3</v>
      </c>
      <c r="L36" s="18">
        <f>VLOOKUP(I36,'Lookup untuk Perh Conf'!$K$2:$M$16,3,FALSE)</f>
        <v>0.4</v>
      </c>
      <c r="M36" s="42">
        <f t="shared" si="0"/>
        <v>0.66666666666666663</v>
      </c>
      <c r="N36" s="30">
        <f t="shared" si="1"/>
        <v>1.6666666666666665</v>
      </c>
      <c r="O36" s="18" t="b">
        <f t="shared" si="2"/>
        <v>0</v>
      </c>
    </row>
    <row r="37" spans="2:15" x14ac:dyDescent="0.35">
      <c r="B37" s="24" t="s">
        <v>31</v>
      </c>
      <c r="C37" s="24" t="s">
        <v>15</v>
      </c>
      <c r="D37" s="24">
        <v>1</v>
      </c>
      <c r="E37" t="s">
        <v>40</v>
      </c>
      <c r="G37" s="18" t="s">
        <v>37</v>
      </c>
      <c r="H37" s="18" t="s">
        <v>31</v>
      </c>
      <c r="I37" s="18" t="s">
        <v>16</v>
      </c>
      <c r="J37" s="18">
        <f>VLOOKUP(G37,'Lookup untuk Perh Conf'!$K$2:$M$16,2, FALSE)</f>
        <v>2</v>
      </c>
      <c r="K37" s="18">
        <f>VLOOKUP(H37,'Lookup untuk Perh Conf'!$K$2:$M$16,2,FALSE)</f>
        <v>2</v>
      </c>
      <c r="L37" s="18">
        <f>VLOOKUP(I37,'Lookup untuk Perh Conf'!$K$2:$M$16,3,FALSE)</f>
        <v>0.6</v>
      </c>
      <c r="M37" s="42">
        <f t="shared" si="0"/>
        <v>1</v>
      </c>
      <c r="N37" s="30">
        <f t="shared" si="1"/>
        <v>1.6666666666666667</v>
      </c>
      <c r="O37" s="18" t="b">
        <f t="shared" si="2"/>
        <v>1</v>
      </c>
    </row>
    <row r="38" spans="2:15" x14ac:dyDescent="0.35">
      <c r="B38" s="24" t="s">
        <v>31</v>
      </c>
      <c r="C38" s="24" t="s">
        <v>18</v>
      </c>
      <c r="D38" s="24">
        <v>1</v>
      </c>
      <c r="E38" t="s">
        <v>41</v>
      </c>
      <c r="G38" s="18" t="s">
        <v>37</v>
      </c>
      <c r="H38" s="18" t="s">
        <v>16</v>
      </c>
      <c r="I38" s="18" t="s">
        <v>31</v>
      </c>
      <c r="J38" s="18">
        <f>VLOOKUP(G38,'Lookup untuk Perh Conf'!$K$2:$M$16,2, FALSE)</f>
        <v>2</v>
      </c>
      <c r="K38" s="18">
        <f>VLOOKUP(H38,'Lookup untuk Perh Conf'!$K$2:$M$16,2,FALSE)</f>
        <v>3</v>
      </c>
      <c r="L38" s="18">
        <f>VLOOKUP(I38,'Lookup untuk Perh Conf'!$K$2:$M$16,3,FALSE)</f>
        <v>0.4</v>
      </c>
      <c r="M38" s="42">
        <f t="shared" si="0"/>
        <v>0.66666666666666663</v>
      </c>
      <c r="N38" s="30">
        <f t="shared" si="1"/>
        <v>1.6666666666666665</v>
      </c>
      <c r="O38" s="18" t="b">
        <f t="shared" si="2"/>
        <v>0</v>
      </c>
    </row>
    <row r="39" spans="2:15" x14ac:dyDescent="0.35">
      <c r="B39" s="25" t="s">
        <v>32</v>
      </c>
      <c r="C39" s="25" t="s">
        <v>16</v>
      </c>
      <c r="D39" s="25">
        <v>1</v>
      </c>
      <c r="E39" t="s">
        <v>40</v>
      </c>
      <c r="G39" s="18" t="s">
        <v>37</v>
      </c>
      <c r="H39" s="18" t="s">
        <v>32</v>
      </c>
      <c r="I39" s="18" t="s">
        <v>15</v>
      </c>
      <c r="J39" s="18">
        <f>VLOOKUP(G39,'Lookup untuk Perh Conf'!$K$2:$M$16,2, FALSE)</f>
        <v>2</v>
      </c>
      <c r="K39" s="18">
        <f>VLOOKUP(H39,'Lookup untuk Perh Conf'!$K$2:$M$16,2,FALSE)</f>
        <v>3</v>
      </c>
      <c r="L39" s="18">
        <f>VLOOKUP(I39,'Lookup untuk Perh Conf'!$K$2:$M$16,3,FALSE)</f>
        <v>0.8</v>
      </c>
      <c r="M39" s="42">
        <f t="shared" si="0"/>
        <v>0.66666666666666663</v>
      </c>
      <c r="N39" s="30">
        <f t="shared" si="1"/>
        <v>0.83333333333333326</v>
      </c>
      <c r="O39" s="18" t="b">
        <f t="shared" si="2"/>
        <v>0</v>
      </c>
    </row>
    <row r="40" spans="2:15" x14ac:dyDescent="0.35">
      <c r="B40" s="25" t="s">
        <v>32</v>
      </c>
      <c r="C40" s="25" t="s">
        <v>18</v>
      </c>
      <c r="D40" s="25">
        <v>1</v>
      </c>
      <c r="E40" t="s">
        <v>41</v>
      </c>
      <c r="G40" s="18" t="s">
        <v>37</v>
      </c>
      <c r="H40" s="18" t="s">
        <v>15</v>
      </c>
      <c r="I40" s="18" t="s">
        <v>32</v>
      </c>
      <c r="J40" s="18">
        <f>VLOOKUP(G40,'Lookup untuk Perh Conf'!$K$2:$M$16,2, FALSE)</f>
        <v>2</v>
      </c>
      <c r="K40" s="18">
        <f>VLOOKUP(H40,'Lookup untuk Perh Conf'!$K$2:$M$16,2,FALSE)</f>
        <v>4</v>
      </c>
      <c r="L40" s="18">
        <f>VLOOKUP(I40,'Lookup untuk Perh Conf'!$K$2:$M$16,3,FALSE)</f>
        <v>0.6</v>
      </c>
      <c r="M40" s="42">
        <f t="shared" si="0"/>
        <v>0.5</v>
      </c>
      <c r="N40" s="30">
        <f t="shared" si="1"/>
        <v>0.83333333333333337</v>
      </c>
      <c r="O40" s="18" t="b">
        <f t="shared" si="2"/>
        <v>0</v>
      </c>
    </row>
    <row r="41" spans="2:15" x14ac:dyDescent="0.35">
      <c r="B41" s="20" t="s">
        <v>13</v>
      </c>
      <c r="C41" s="20"/>
      <c r="D41" s="20"/>
      <c r="G41" s="19" t="s">
        <v>7</v>
      </c>
      <c r="H41" s="19" t="s">
        <v>13</v>
      </c>
      <c r="I41" s="19" t="s">
        <v>15</v>
      </c>
      <c r="J41" s="19">
        <f>VLOOKUP(G41,'Lookup untuk Perh Conf'!$K$2:$M$16,2, FALSE)</f>
        <v>4</v>
      </c>
      <c r="K41" s="19">
        <f>VLOOKUP(H41,'Lookup untuk Perh Conf'!$K$2:$M$16,2,FALSE)</f>
        <v>4</v>
      </c>
      <c r="L41" s="19">
        <f>VLOOKUP(I41,'Lookup untuk Perh Conf'!$K$2:$M$16,3,FALSE)</f>
        <v>0.8</v>
      </c>
      <c r="M41" s="43">
        <f t="shared" si="0"/>
        <v>1</v>
      </c>
      <c r="N41" s="31">
        <f t="shared" si="1"/>
        <v>1.25</v>
      </c>
      <c r="O41" s="19" t="b">
        <f t="shared" si="2"/>
        <v>1</v>
      </c>
    </row>
    <row r="42" spans="2:15" x14ac:dyDescent="0.35">
      <c r="B42" s="20" t="s">
        <v>15</v>
      </c>
      <c r="C42" s="20"/>
      <c r="D42" s="20"/>
      <c r="G42" s="19" t="s">
        <v>7</v>
      </c>
      <c r="H42" s="19" t="s">
        <v>15</v>
      </c>
      <c r="I42" s="19" t="s">
        <v>13</v>
      </c>
      <c r="J42" s="19">
        <f>VLOOKUP(G42,'Lookup untuk Perh Conf'!$K$2:$M$16,2, FALSE)</f>
        <v>4</v>
      </c>
      <c r="K42" s="19">
        <f>VLOOKUP(H42,'Lookup untuk Perh Conf'!$K$2:$M$16,2,FALSE)</f>
        <v>4</v>
      </c>
      <c r="L42" s="19">
        <f>VLOOKUP(I42,'Lookup untuk Perh Conf'!$K$2:$M$16,3,FALSE)</f>
        <v>0.8</v>
      </c>
      <c r="M42" s="43">
        <f t="shared" si="0"/>
        <v>1</v>
      </c>
      <c r="N42" s="31">
        <f t="shared" si="1"/>
        <v>1.25</v>
      </c>
      <c r="O42" s="19" t="b">
        <f t="shared" si="2"/>
        <v>1</v>
      </c>
    </row>
    <row r="43" spans="2:15" x14ac:dyDescent="0.35">
      <c r="B43" s="20" t="s">
        <v>16</v>
      </c>
      <c r="C43" s="20"/>
      <c r="D43" s="20"/>
      <c r="G43" s="21" t="s">
        <v>28</v>
      </c>
      <c r="H43" s="21" t="s">
        <v>13</v>
      </c>
      <c r="I43" s="21" t="s">
        <v>16</v>
      </c>
      <c r="J43" s="21">
        <f>VLOOKUP(G43,'Lookup untuk Perh Conf'!$K$2:$M$16,2, FALSE)</f>
        <v>2</v>
      </c>
      <c r="K43" s="21">
        <f>VLOOKUP(H43,'Lookup untuk Perh Conf'!$K$2:$M$16,2,FALSE)</f>
        <v>4</v>
      </c>
      <c r="L43" s="21">
        <f>VLOOKUP(I43,'Lookup untuk Perh Conf'!$K$2:$M$16,3,FALSE)</f>
        <v>0.6</v>
      </c>
      <c r="M43" s="44">
        <f t="shared" si="0"/>
        <v>0.5</v>
      </c>
      <c r="N43" s="32">
        <f t="shared" si="1"/>
        <v>0.83333333333333337</v>
      </c>
      <c r="O43" s="21" t="b">
        <f t="shared" si="2"/>
        <v>0</v>
      </c>
    </row>
    <row r="44" spans="2:15" x14ac:dyDescent="0.35">
      <c r="B44" s="20" t="s">
        <v>18</v>
      </c>
      <c r="C44" s="20"/>
      <c r="D44" s="20"/>
      <c r="G44" s="21" t="s">
        <v>28</v>
      </c>
      <c r="H44" s="21" t="s">
        <v>16</v>
      </c>
      <c r="I44" s="21" t="s">
        <v>13</v>
      </c>
      <c r="J44" s="21">
        <f>VLOOKUP(G44,'Lookup untuk Perh Conf'!$K$2:$M$16,2, FALSE)</f>
        <v>2</v>
      </c>
      <c r="K44" s="21">
        <f>VLOOKUP(H44,'Lookup untuk Perh Conf'!$K$2:$M$16,2,FALSE)</f>
        <v>3</v>
      </c>
      <c r="L44" s="21">
        <f>VLOOKUP(I44,'Lookup untuk Perh Conf'!$K$2:$M$16,3,FALSE)</f>
        <v>0.8</v>
      </c>
      <c r="M44" s="44">
        <f t="shared" si="0"/>
        <v>0.66666666666666663</v>
      </c>
      <c r="N44" s="32">
        <f t="shared" si="1"/>
        <v>0.83333333333333326</v>
      </c>
      <c r="O44" s="21" t="b">
        <f t="shared" si="2"/>
        <v>0</v>
      </c>
    </row>
    <row r="45" spans="2:15" x14ac:dyDescent="0.35">
      <c r="G45" s="22" t="s">
        <v>29</v>
      </c>
      <c r="H45" s="22" t="s">
        <v>13</v>
      </c>
      <c r="I45" s="22" t="s">
        <v>18</v>
      </c>
      <c r="J45" s="22">
        <f>VLOOKUP(G45,'Lookup untuk Perh Conf'!$K$2:$M$16,2, FALSE)</f>
        <v>2</v>
      </c>
      <c r="K45" s="22">
        <f>VLOOKUP(H45,'Lookup untuk Perh Conf'!$K$2:$M$16,2,FALSE)</f>
        <v>4</v>
      </c>
      <c r="L45" s="22">
        <f>VLOOKUP(I45,'Lookup untuk Perh Conf'!$K$2:$M$16,3,FALSE)</f>
        <v>0.6</v>
      </c>
      <c r="M45" s="45">
        <f t="shared" si="0"/>
        <v>0.5</v>
      </c>
      <c r="N45" s="33">
        <f t="shared" si="1"/>
        <v>0.83333333333333337</v>
      </c>
      <c r="O45" s="22" t="b">
        <f t="shared" si="2"/>
        <v>0</v>
      </c>
    </row>
    <row r="46" spans="2:15" x14ac:dyDescent="0.35">
      <c r="G46" s="22" t="s">
        <v>29</v>
      </c>
      <c r="H46" s="22" t="s">
        <v>18</v>
      </c>
      <c r="I46" s="22" t="s">
        <v>13</v>
      </c>
      <c r="J46" s="22">
        <f>VLOOKUP(G46,'Lookup untuk Perh Conf'!$K$2:$M$16,2, FALSE)</f>
        <v>2</v>
      </c>
      <c r="K46" s="22">
        <f>VLOOKUP(H46,'Lookup untuk Perh Conf'!$K$2:$M$16,2,FALSE)</f>
        <v>3</v>
      </c>
      <c r="L46" s="22">
        <f>VLOOKUP(I46,'Lookup untuk Perh Conf'!$K$2:$M$16,3,FALSE)</f>
        <v>0.8</v>
      </c>
      <c r="M46" s="45">
        <f t="shared" si="0"/>
        <v>0.66666666666666663</v>
      </c>
      <c r="N46" s="33">
        <f t="shared" si="1"/>
        <v>0.83333333333333326</v>
      </c>
      <c r="O46" s="22" t="b">
        <f t="shared" si="2"/>
        <v>0</v>
      </c>
    </row>
    <row r="47" spans="2:15" x14ac:dyDescent="0.35">
      <c r="G47" s="23" t="s">
        <v>30</v>
      </c>
      <c r="H47" s="23" t="s">
        <v>15</v>
      </c>
      <c r="I47" s="23" t="s">
        <v>16</v>
      </c>
      <c r="J47" s="23">
        <f>VLOOKUP(G47,'Lookup untuk Perh Conf'!$K$2:$M$16,2, FALSE)</f>
        <v>2</v>
      </c>
      <c r="K47" s="23">
        <f>VLOOKUP(H47,'Lookup untuk Perh Conf'!$K$2:$M$16,2,FALSE)</f>
        <v>4</v>
      </c>
      <c r="L47" s="23">
        <f>VLOOKUP(I47,'Lookup untuk Perh Conf'!$K$2:$M$16,3,FALSE)</f>
        <v>0.6</v>
      </c>
      <c r="M47" s="46">
        <f t="shared" si="0"/>
        <v>0.5</v>
      </c>
      <c r="N47" s="34">
        <f t="shared" si="1"/>
        <v>0.83333333333333337</v>
      </c>
      <c r="O47" s="23" t="b">
        <f t="shared" si="2"/>
        <v>0</v>
      </c>
    </row>
    <row r="48" spans="2:15" x14ac:dyDescent="0.35">
      <c r="G48" s="23" t="s">
        <v>30</v>
      </c>
      <c r="H48" s="23" t="s">
        <v>16</v>
      </c>
      <c r="I48" s="23" t="s">
        <v>15</v>
      </c>
      <c r="J48" s="23">
        <f>VLOOKUP(G48,'Lookup untuk Perh Conf'!$K$2:$M$16,2, FALSE)</f>
        <v>2</v>
      </c>
      <c r="K48" s="23">
        <f>VLOOKUP(H48,'Lookup untuk Perh Conf'!$K$2:$M$16,2,FALSE)</f>
        <v>3</v>
      </c>
      <c r="L48" s="23">
        <f>VLOOKUP(I48,'Lookup untuk Perh Conf'!$K$2:$M$16,3,FALSE)</f>
        <v>0.8</v>
      </c>
      <c r="M48" s="46">
        <f t="shared" si="0"/>
        <v>0.66666666666666663</v>
      </c>
      <c r="N48" s="34">
        <f t="shared" si="1"/>
        <v>0.83333333333333326</v>
      </c>
      <c r="O48" s="23" t="b">
        <f t="shared" si="2"/>
        <v>0</v>
      </c>
    </row>
    <row r="49" spans="7:15" x14ac:dyDescent="0.35">
      <c r="G49" s="24" t="s">
        <v>31</v>
      </c>
      <c r="H49" s="24" t="s">
        <v>15</v>
      </c>
      <c r="I49" s="24" t="s">
        <v>18</v>
      </c>
      <c r="J49" s="24">
        <f>VLOOKUP(G49,'Lookup untuk Perh Conf'!$K$2:$M$16,2, FALSE)</f>
        <v>2</v>
      </c>
      <c r="K49" s="24">
        <f>VLOOKUP(H49,'Lookup untuk Perh Conf'!$K$2:$M$16,2,FALSE)</f>
        <v>4</v>
      </c>
      <c r="L49" s="24">
        <f>VLOOKUP(I49,'Lookup untuk Perh Conf'!$K$2:$M$16,3,FALSE)</f>
        <v>0.6</v>
      </c>
      <c r="M49" s="47">
        <f t="shared" si="0"/>
        <v>0.5</v>
      </c>
      <c r="N49" s="35">
        <f t="shared" si="1"/>
        <v>0.83333333333333337</v>
      </c>
      <c r="O49" s="24" t="b">
        <f t="shared" si="2"/>
        <v>0</v>
      </c>
    </row>
    <row r="50" spans="7:15" x14ac:dyDescent="0.35">
      <c r="G50" s="24" t="s">
        <v>31</v>
      </c>
      <c r="H50" s="24" t="s">
        <v>18</v>
      </c>
      <c r="I50" s="24" t="s">
        <v>15</v>
      </c>
      <c r="J50" s="24">
        <f>VLOOKUP(G50,'Lookup untuk Perh Conf'!$K$2:$M$16,2, FALSE)</f>
        <v>2</v>
      </c>
      <c r="K50" s="24">
        <f>VLOOKUP(H50,'Lookup untuk Perh Conf'!$K$2:$M$16,2,FALSE)</f>
        <v>3</v>
      </c>
      <c r="L50" s="24">
        <f>VLOOKUP(I50,'Lookup untuk Perh Conf'!$K$2:$M$16,3,FALSE)</f>
        <v>0.8</v>
      </c>
      <c r="M50" s="47">
        <f t="shared" si="0"/>
        <v>0.66666666666666663</v>
      </c>
      <c r="N50" s="35">
        <f t="shared" si="1"/>
        <v>0.83333333333333326</v>
      </c>
      <c r="O50" s="24" t="b">
        <f t="shared" si="2"/>
        <v>0</v>
      </c>
    </row>
    <row r="51" spans="7:15" x14ac:dyDescent="0.35">
      <c r="G51" s="25" t="s">
        <v>32</v>
      </c>
      <c r="H51" s="25" t="s">
        <v>16</v>
      </c>
      <c r="I51" s="25" t="s">
        <v>18</v>
      </c>
      <c r="J51" s="25">
        <f>VLOOKUP(G51,'Lookup untuk Perh Conf'!$K$2:$M$16,2, FALSE)</f>
        <v>3</v>
      </c>
      <c r="K51" s="25">
        <f>VLOOKUP(H51,'Lookup untuk Perh Conf'!$K$2:$M$16,2,FALSE)</f>
        <v>3</v>
      </c>
      <c r="L51" s="25">
        <f>VLOOKUP(I51,'Lookup untuk Perh Conf'!$K$2:$M$16,3,FALSE)</f>
        <v>0.6</v>
      </c>
      <c r="M51" s="48">
        <f t="shared" si="0"/>
        <v>1</v>
      </c>
      <c r="N51" s="36">
        <f t="shared" si="1"/>
        <v>1.6666666666666667</v>
      </c>
      <c r="O51" s="25" t="b">
        <f t="shared" si="2"/>
        <v>1</v>
      </c>
    </row>
    <row r="52" spans="7:15" x14ac:dyDescent="0.35">
      <c r="G52" s="25" t="s">
        <v>32</v>
      </c>
      <c r="H52" s="25" t="s">
        <v>18</v>
      </c>
      <c r="I52" s="25" t="s">
        <v>16</v>
      </c>
      <c r="J52" s="25">
        <f>VLOOKUP(G52,'Lookup untuk Perh Conf'!$K$2:$M$16,2, FALSE)</f>
        <v>3</v>
      </c>
      <c r="K52" s="25">
        <f>VLOOKUP(H52,'Lookup untuk Perh Conf'!$K$2:$M$16,2,FALSE)</f>
        <v>3</v>
      </c>
      <c r="L52" s="25">
        <f>VLOOKUP(I52,'Lookup untuk Perh Conf'!$K$2:$M$16,3,FALSE)</f>
        <v>0.6</v>
      </c>
      <c r="M52" s="48">
        <f t="shared" si="0"/>
        <v>1</v>
      </c>
      <c r="N52" s="36">
        <f t="shared" si="1"/>
        <v>1.6666666666666667</v>
      </c>
      <c r="O52" s="25" t="b">
        <f t="shared" si="2"/>
        <v>1</v>
      </c>
    </row>
  </sheetData>
  <mergeCells count="1">
    <mergeCell ref="J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F26D-8226-43FF-B848-C0BE6AEFBB37}">
  <dimension ref="A1:I52"/>
  <sheetViews>
    <sheetView zoomScale="85" zoomScaleNormal="85" workbookViewId="0">
      <selection activeCell="D2" sqref="D2"/>
    </sheetView>
  </sheetViews>
  <sheetFormatPr defaultRowHeight="14.5" x14ac:dyDescent="0.35"/>
  <cols>
    <col min="1" max="1" width="22.1796875" bestFit="1" customWidth="1"/>
    <col min="2" max="3" width="17.81640625" bestFit="1" customWidth="1"/>
    <col min="4" max="4" width="18.1796875" bestFit="1" customWidth="1"/>
    <col min="5" max="5" width="16.1796875" bestFit="1" customWidth="1"/>
    <col min="6" max="6" width="16.1796875" customWidth="1"/>
    <col min="7" max="7" width="11.1796875" bestFit="1" customWidth="1"/>
    <col min="8" max="8" width="9" customWidth="1"/>
    <col min="9" max="9" width="24.81640625" customWidth="1"/>
  </cols>
  <sheetData>
    <row r="1" spans="1:9" x14ac:dyDescent="0.35">
      <c r="D1" s="50" t="s">
        <v>50</v>
      </c>
      <c r="E1" s="50"/>
      <c r="F1" s="50"/>
    </row>
    <row r="2" spans="1:9" x14ac:dyDescent="0.35">
      <c r="A2" s="37" t="s">
        <v>25</v>
      </c>
      <c r="B2" s="37" t="s">
        <v>44</v>
      </c>
      <c r="C2" s="37" t="s">
        <v>45</v>
      </c>
      <c r="D2" s="37" t="s">
        <v>47</v>
      </c>
      <c r="E2" s="37" t="s">
        <v>48</v>
      </c>
      <c r="F2" s="37" t="s">
        <v>49</v>
      </c>
      <c r="G2" s="37" t="s">
        <v>42</v>
      </c>
      <c r="H2" s="37" t="s">
        <v>46</v>
      </c>
      <c r="I2" s="37" t="s">
        <v>43</v>
      </c>
    </row>
    <row r="3" spans="1:9" x14ac:dyDescent="0.35">
      <c r="A3" s="11" t="s">
        <v>3</v>
      </c>
      <c r="B3" s="11" t="s">
        <v>34</v>
      </c>
      <c r="C3" s="11" t="s">
        <v>18</v>
      </c>
      <c r="D3" s="11">
        <f>VLOOKUP(A3,'Lookup untuk Perh Conf'!$K$2:$M$16,2, FALSE)</f>
        <v>2</v>
      </c>
      <c r="E3" s="11">
        <f>VLOOKUP(B3,'Lookup untuk Perh Conf'!$K$2:$M$16,2,FALSE)</f>
        <v>2</v>
      </c>
      <c r="F3" s="11">
        <f>VLOOKUP(C3,'Lookup untuk Perh Conf'!$K$2:$M$16,3,FALSE)</f>
        <v>0.6</v>
      </c>
      <c r="G3" s="13">
        <f t="shared" ref="G3:G34" si="0">D3/E3</f>
        <v>1</v>
      </c>
      <c r="H3" s="13">
        <f t="shared" ref="H3:H34" si="1">G3/F3</f>
        <v>1.6666666666666667</v>
      </c>
      <c r="I3" s="11" t="b">
        <f t="shared" ref="I3:I34" si="2">G3&gt;=0.7</f>
        <v>1</v>
      </c>
    </row>
    <row r="4" spans="1:9" x14ac:dyDescent="0.35">
      <c r="A4" s="11" t="s">
        <v>3</v>
      </c>
      <c r="B4" s="11" t="s">
        <v>35</v>
      </c>
      <c r="C4" s="11" t="s">
        <v>16</v>
      </c>
      <c r="D4" s="11">
        <f>VLOOKUP(A4,'Lookup untuk Perh Conf'!$K$2:$M$16,2, FALSE)</f>
        <v>2</v>
      </c>
      <c r="E4" s="11">
        <f>VLOOKUP(B4,'Lookup untuk Perh Conf'!$K$2:$M$16,2,FALSE)</f>
        <v>2</v>
      </c>
      <c r="F4" s="11">
        <f>VLOOKUP(C4,'Lookup untuk Perh Conf'!$K$2:$M$16,3,FALSE)</f>
        <v>0.6</v>
      </c>
      <c r="G4" s="13">
        <f t="shared" si="0"/>
        <v>1</v>
      </c>
      <c r="H4" s="26">
        <f t="shared" si="1"/>
        <v>1.6666666666666667</v>
      </c>
      <c r="I4" s="11" t="b">
        <f t="shared" si="2"/>
        <v>1</v>
      </c>
    </row>
    <row r="5" spans="1:9" x14ac:dyDescent="0.35">
      <c r="A5" s="11" t="s">
        <v>3</v>
      </c>
      <c r="B5" s="11" t="s">
        <v>36</v>
      </c>
      <c r="C5" s="11" t="s">
        <v>15</v>
      </c>
      <c r="D5" s="11">
        <f>VLOOKUP(A5,'Lookup untuk Perh Conf'!$K$2:$M$16,2, FALSE)</f>
        <v>2</v>
      </c>
      <c r="E5" s="11">
        <f>VLOOKUP(B5,'Lookup untuk Perh Conf'!$K$2:$M$16,2,FALSE)</f>
        <v>2</v>
      </c>
      <c r="F5" s="11">
        <f>VLOOKUP(C5,'Lookup untuk Perh Conf'!$K$2:$M$16,3,FALSE)</f>
        <v>0.8</v>
      </c>
      <c r="G5" s="13">
        <f t="shared" si="0"/>
        <v>1</v>
      </c>
      <c r="H5" s="26">
        <f t="shared" si="1"/>
        <v>1.25</v>
      </c>
      <c r="I5" s="11" t="b">
        <f t="shared" si="2"/>
        <v>1</v>
      </c>
    </row>
    <row r="6" spans="1:9" x14ac:dyDescent="0.35">
      <c r="A6" s="11" t="s">
        <v>3</v>
      </c>
      <c r="B6" s="11" t="s">
        <v>37</v>
      </c>
      <c r="C6" s="11" t="s">
        <v>13</v>
      </c>
      <c r="D6" s="11">
        <f>VLOOKUP(A6,'Lookup untuk Perh Conf'!$K$2:$M$16,2, FALSE)</f>
        <v>2</v>
      </c>
      <c r="E6" s="11">
        <f>VLOOKUP(B6,'Lookup untuk Perh Conf'!$K$2:$M$16,2,FALSE)</f>
        <v>2</v>
      </c>
      <c r="F6" s="11">
        <f>VLOOKUP(C6,'Lookup untuk Perh Conf'!$K$2:$M$16,3,FALSE)</f>
        <v>0.8</v>
      </c>
      <c r="G6" s="13">
        <f t="shared" si="0"/>
        <v>1</v>
      </c>
      <c r="H6" s="26">
        <f t="shared" si="1"/>
        <v>1.25</v>
      </c>
      <c r="I6" s="11" t="b">
        <f t="shared" si="2"/>
        <v>1</v>
      </c>
    </row>
    <row r="7" spans="1:9" x14ac:dyDescent="0.35">
      <c r="A7" s="11" t="s">
        <v>3</v>
      </c>
      <c r="B7" s="11" t="s">
        <v>28</v>
      </c>
      <c r="C7" s="11" t="s">
        <v>31</v>
      </c>
      <c r="D7" s="11">
        <f>VLOOKUP(A7,'Lookup untuk Perh Conf'!$K$2:$M$16,2, FALSE)</f>
        <v>2</v>
      </c>
      <c r="E7" s="11">
        <f>VLOOKUP(B7,'Lookup untuk Perh Conf'!$K$2:$M$16,2,FALSE)</f>
        <v>2</v>
      </c>
      <c r="F7" s="11">
        <f>VLOOKUP(C7,'Lookup untuk Perh Conf'!$K$2:$M$16,3,FALSE)</f>
        <v>0.4</v>
      </c>
      <c r="G7" s="13">
        <f t="shared" si="0"/>
        <v>1</v>
      </c>
      <c r="H7" s="26">
        <f t="shared" si="1"/>
        <v>2.5</v>
      </c>
      <c r="I7" s="11" t="b">
        <f t="shared" si="2"/>
        <v>1</v>
      </c>
    </row>
    <row r="8" spans="1:9" x14ac:dyDescent="0.35">
      <c r="A8" s="11" t="s">
        <v>3</v>
      </c>
      <c r="B8" s="11" t="s">
        <v>31</v>
      </c>
      <c r="C8" s="11" t="s">
        <v>28</v>
      </c>
      <c r="D8" s="11">
        <f>VLOOKUP(A8,'Lookup untuk Perh Conf'!$K$2:$M$16,2, FALSE)</f>
        <v>2</v>
      </c>
      <c r="E8" s="11">
        <f>VLOOKUP(B8,'Lookup untuk Perh Conf'!$K$2:$M$16,2,FALSE)</f>
        <v>2</v>
      </c>
      <c r="F8" s="11">
        <f>VLOOKUP(C8,'Lookup untuk Perh Conf'!$K$2:$M$16,3,FALSE)</f>
        <v>0.4</v>
      </c>
      <c r="G8" s="13">
        <f t="shared" si="0"/>
        <v>1</v>
      </c>
      <c r="H8" s="26">
        <f t="shared" si="1"/>
        <v>2.5</v>
      </c>
      <c r="I8" s="11" t="b">
        <f t="shared" si="2"/>
        <v>1</v>
      </c>
    </row>
    <row r="9" spans="1:9" x14ac:dyDescent="0.35">
      <c r="A9" s="11" t="s">
        <v>3</v>
      </c>
      <c r="B9" s="11" t="s">
        <v>29</v>
      </c>
      <c r="C9" s="11" t="s">
        <v>30</v>
      </c>
      <c r="D9" s="11">
        <f>VLOOKUP(A9,'Lookup untuk Perh Conf'!$K$2:$M$16,2, FALSE)</f>
        <v>2</v>
      </c>
      <c r="E9" s="11">
        <f>VLOOKUP(B9,'Lookup untuk Perh Conf'!$K$2:$M$16,2,FALSE)</f>
        <v>2</v>
      </c>
      <c r="F9" s="11">
        <f>VLOOKUP(C9,'Lookup untuk Perh Conf'!$K$2:$M$16,3,FALSE)</f>
        <v>0.4</v>
      </c>
      <c r="G9" s="13">
        <f t="shared" si="0"/>
        <v>1</v>
      </c>
      <c r="H9" s="26">
        <f t="shared" si="1"/>
        <v>2.5</v>
      </c>
      <c r="I9" s="11" t="b">
        <f t="shared" si="2"/>
        <v>1</v>
      </c>
    </row>
    <row r="10" spans="1:9" x14ac:dyDescent="0.35">
      <c r="A10" s="11" t="s">
        <v>3</v>
      </c>
      <c r="B10" s="11" t="s">
        <v>30</v>
      </c>
      <c r="C10" s="11" t="s">
        <v>29</v>
      </c>
      <c r="D10" s="11">
        <f>VLOOKUP(A10,'Lookup untuk Perh Conf'!$K$2:$M$16,2, FALSE)</f>
        <v>2</v>
      </c>
      <c r="E10" s="11">
        <f>VLOOKUP(B10,'Lookup untuk Perh Conf'!$K$2:$M$16,2,FALSE)</f>
        <v>2</v>
      </c>
      <c r="F10" s="11">
        <f>VLOOKUP(C10,'Lookup untuk Perh Conf'!$K$2:$M$16,3,FALSE)</f>
        <v>0.4</v>
      </c>
      <c r="G10" s="13">
        <f t="shared" si="0"/>
        <v>1</v>
      </c>
      <c r="H10" s="26">
        <f t="shared" si="1"/>
        <v>2.5</v>
      </c>
      <c r="I10" s="11" t="b">
        <f t="shared" si="2"/>
        <v>1</v>
      </c>
    </row>
    <row r="11" spans="1:9" x14ac:dyDescent="0.35">
      <c r="A11" s="15" t="s">
        <v>34</v>
      </c>
      <c r="B11" s="15" t="s">
        <v>28</v>
      </c>
      <c r="C11" s="15" t="s">
        <v>15</v>
      </c>
      <c r="D11" s="15">
        <f>VLOOKUP(A11,'Lookup untuk Perh Conf'!$K$2:$M$16,2, FALSE)</f>
        <v>2</v>
      </c>
      <c r="E11" s="15">
        <f>VLOOKUP(B11,'Lookup untuk Perh Conf'!$K$2:$M$16,2,FALSE)</f>
        <v>2</v>
      </c>
      <c r="F11" s="15">
        <f>VLOOKUP(C11,'Lookup untuk Perh Conf'!$K$2:$M$16,3,FALSE)</f>
        <v>0.8</v>
      </c>
      <c r="G11" s="39">
        <f t="shared" si="0"/>
        <v>1</v>
      </c>
      <c r="H11" s="27">
        <f t="shared" si="1"/>
        <v>1.25</v>
      </c>
      <c r="I11" s="15" t="b">
        <f t="shared" si="2"/>
        <v>1</v>
      </c>
    </row>
    <row r="12" spans="1:9" x14ac:dyDescent="0.35">
      <c r="A12" s="15" t="s">
        <v>34</v>
      </c>
      <c r="B12" s="15" t="s">
        <v>30</v>
      </c>
      <c r="C12" s="15" t="s">
        <v>13</v>
      </c>
      <c r="D12" s="15">
        <f>VLOOKUP(A12,'Lookup untuk Perh Conf'!$K$2:$M$16,2, FALSE)</f>
        <v>2</v>
      </c>
      <c r="E12" s="15">
        <f>VLOOKUP(B12,'Lookup untuk Perh Conf'!$K$2:$M$16,2,FALSE)</f>
        <v>2</v>
      </c>
      <c r="F12" s="15">
        <f>VLOOKUP(C12,'Lookup untuk Perh Conf'!$K$2:$M$16,3,FALSE)</f>
        <v>0.8</v>
      </c>
      <c r="G12" s="39">
        <f t="shared" si="0"/>
        <v>1</v>
      </c>
      <c r="H12" s="27">
        <f t="shared" si="1"/>
        <v>1.25</v>
      </c>
      <c r="I12" s="15" t="b">
        <f t="shared" si="2"/>
        <v>1</v>
      </c>
    </row>
    <row r="13" spans="1:9" x14ac:dyDescent="0.35">
      <c r="A13" s="16" t="s">
        <v>35</v>
      </c>
      <c r="B13" s="16" t="s">
        <v>29</v>
      </c>
      <c r="C13" s="16" t="s">
        <v>15</v>
      </c>
      <c r="D13" s="16">
        <f>VLOOKUP(A13,'Lookup untuk Perh Conf'!$K$2:$M$16,2, FALSE)</f>
        <v>2</v>
      </c>
      <c r="E13" s="16">
        <f>VLOOKUP(B13,'Lookup untuk Perh Conf'!$K$2:$M$16,2,FALSE)</f>
        <v>2</v>
      </c>
      <c r="F13" s="16">
        <f>VLOOKUP(C13,'Lookup untuk Perh Conf'!$K$2:$M$16,3,FALSE)</f>
        <v>0.8</v>
      </c>
      <c r="G13" s="40">
        <f t="shared" si="0"/>
        <v>1</v>
      </c>
      <c r="H13" s="28">
        <f t="shared" si="1"/>
        <v>1.25</v>
      </c>
      <c r="I13" s="16" t="b">
        <f t="shared" si="2"/>
        <v>1</v>
      </c>
    </row>
    <row r="14" spans="1:9" x14ac:dyDescent="0.35">
      <c r="A14" s="16" t="s">
        <v>35</v>
      </c>
      <c r="B14" s="16" t="s">
        <v>31</v>
      </c>
      <c r="C14" s="16" t="s">
        <v>13</v>
      </c>
      <c r="D14" s="16">
        <f>VLOOKUP(A14,'Lookup untuk Perh Conf'!$K$2:$M$16,2, FALSE)</f>
        <v>2</v>
      </c>
      <c r="E14" s="16">
        <f>VLOOKUP(B14,'Lookup untuk Perh Conf'!$K$2:$M$16,2,FALSE)</f>
        <v>2</v>
      </c>
      <c r="F14" s="16">
        <f>VLOOKUP(C14,'Lookup untuk Perh Conf'!$K$2:$M$16,3,FALSE)</f>
        <v>0.8</v>
      </c>
      <c r="G14" s="40">
        <f t="shared" si="0"/>
        <v>1</v>
      </c>
      <c r="H14" s="28">
        <f t="shared" si="1"/>
        <v>1.25</v>
      </c>
      <c r="I14" s="16" t="b">
        <f t="shared" si="2"/>
        <v>1</v>
      </c>
    </row>
    <row r="15" spans="1:9" x14ac:dyDescent="0.35">
      <c r="A15" s="17" t="s">
        <v>36</v>
      </c>
      <c r="B15" s="17" t="s">
        <v>28</v>
      </c>
      <c r="C15" s="17" t="s">
        <v>18</v>
      </c>
      <c r="D15" s="17">
        <f>VLOOKUP(A15,'Lookup untuk Perh Conf'!$K$2:$M$16,2, FALSE)</f>
        <v>2</v>
      </c>
      <c r="E15" s="17">
        <f>VLOOKUP(B15,'Lookup untuk Perh Conf'!$K$2:$M$16,2,FALSE)</f>
        <v>2</v>
      </c>
      <c r="F15" s="17">
        <f>VLOOKUP(C15,'Lookup untuk Perh Conf'!$K$2:$M$16,3,FALSE)</f>
        <v>0.6</v>
      </c>
      <c r="G15" s="41">
        <f t="shared" si="0"/>
        <v>1</v>
      </c>
      <c r="H15" s="29">
        <f t="shared" si="1"/>
        <v>1.6666666666666667</v>
      </c>
      <c r="I15" s="17" t="b">
        <f t="shared" si="2"/>
        <v>1</v>
      </c>
    </row>
    <row r="16" spans="1:9" x14ac:dyDescent="0.35">
      <c r="A16" s="17" t="s">
        <v>36</v>
      </c>
      <c r="B16" s="17" t="s">
        <v>29</v>
      </c>
      <c r="C16" s="17" t="s">
        <v>16</v>
      </c>
      <c r="D16" s="17">
        <f>VLOOKUP(A16,'Lookup untuk Perh Conf'!$K$2:$M$16,2, FALSE)</f>
        <v>2</v>
      </c>
      <c r="E16" s="17">
        <f>VLOOKUP(B16,'Lookup untuk Perh Conf'!$K$2:$M$16,2,FALSE)</f>
        <v>2</v>
      </c>
      <c r="F16" s="17">
        <f>VLOOKUP(C16,'Lookup untuk Perh Conf'!$K$2:$M$16,3,FALSE)</f>
        <v>0.6</v>
      </c>
      <c r="G16" s="41">
        <f t="shared" si="0"/>
        <v>1</v>
      </c>
      <c r="H16" s="29">
        <f t="shared" si="1"/>
        <v>1.6666666666666667</v>
      </c>
      <c r="I16" s="17" t="b">
        <f t="shared" si="2"/>
        <v>1</v>
      </c>
    </row>
    <row r="17" spans="1:9" x14ac:dyDescent="0.35">
      <c r="A17" s="18" t="s">
        <v>37</v>
      </c>
      <c r="B17" s="18" t="s">
        <v>30</v>
      </c>
      <c r="C17" s="18" t="s">
        <v>18</v>
      </c>
      <c r="D17" s="18">
        <f>VLOOKUP(A17,'Lookup untuk Perh Conf'!$K$2:$M$16,2, FALSE)</f>
        <v>2</v>
      </c>
      <c r="E17" s="18">
        <f>VLOOKUP(B17,'Lookup untuk Perh Conf'!$K$2:$M$16,2,FALSE)</f>
        <v>2</v>
      </c>
      <c r="F17" s="18">
        <f>VLOOKUP(C17,'Lookup untuk Perh Conf'!$K$2:$M$16,3,FALSE)</f>
        <v>0.6</v>
      </c>
      <c r="G17" s="42">
        <f t="shared" si="0"/>
        <v>1</v>
      </c>
      <c r="H17" s="30">
        <f t="shared" si="1"/>
        <v>1.6666666666666667</v>
      </c>
      <c r="I17" s="18" t="b">
        <f t="shared" si="2"/>
        <v>1</v>
      </c>
    </row>
    <row r="18" spans="1:9" x14ac:dyDescent="0.35">
      <c r="A18" s="18" t="s">
        <v>37</v>
      </c>
      <c r="B18" s="18" t="s">
        <v>31</v>
      </c>
      <c r="C18" s="18" t="s">
        <v>16</v>
      </c>
      <c r="D18" s="18">
        <f>VLOOKUP(A18,'Lookup untuk Perh Conf'!$K$2:$M$16,2, FALSE)</f>
        <v>2</v>
      </c>
      <c r="E18" s="18">
        <f>VLOOKUP(B18,'Lookup untuk Perh Conf'!$K$2:$M$16,2,FALSE)</f>
        <v>2</v>
      </c>
      <c r="F18" s="18">
        <f>VLOOKUP(C18,'Lookup untuk Perh Conf'!$K$2:$M$16,3,FALSE)</f>
        <v>0.6</v>
      </c>
      <c r="G18" s="42">
        <f t="shared" si="0"/>
        <v>1</v>
      </c>
      <c r="H18" s="30">
        <f t="shared" si="1"/>
        <v>1.6666666666666667</v>
      </c>
      <c r="I18" s="18" t="b">
        <f t="shared" si="2"/>
        <v>1</v>
      </c>
    </row>
    <row r="19" spans="1:9" x14ac:dyDescent="0.35">
      <c r="A19" s="19" t="s">
        <v>7</v>
      </c>
      <c r="B19" s="19" t="s">
        <v>13</v>
      </c>
      <c r="C19" s="19" t="s">
        <v>15</v>
      </c>
      <c r="D19" s="19">
        <f>VLOOKUP(A19,'Lookup untuk Perh Conf'!$K$2:$M$16,2, FALSE)</f>
        <v>4</v>
      </c>
      <c r="E19" s="19">
        <f>VLOOKUP(B19,'Lookup untuk Perh Conf'!$K$2:$M$16,2,FALSE)</f>
        <v>4</v>
      </c>
      <c r="F19" s="19">
        <f>VLOOKUP(C19,'Lookup untuk Perh Conf'!$K$2:$M$16,3,FALSE)</f>
        <v>0.8</v>
      </c>
      <c r="G19" s="43">
        <f t="shared" si="0"/>
        <v>1</v>
      </c>
      <c r="H19" s="31">
        <f t="shared" si="1"/>
        <v>1.25</v>
      </c>
      <c r="I19" s="19" t="b">
        <f t="shared" si="2"/>
        <v>1</v>
      </c>
    </row>
    <row r="20" spans="1:9" x14ac:dyDescent="0.35">
      <c r="A20" s="19" t="s">
        <v>7</v>
      </c>
      <c r="B20" s="19" t="s">
        <v>15</v>
      </c>
      <c r="C20" s="19" t="s">
        <v>13</v>
      </c>
      <c r="D20" s="19">
        <f>VLOOKUP(A20,'Lookup untuk Perh Conf'!$K$2:$M$16,2, FALSE)</f>
        <v>4</v>
      </c>
      <c r="E20" s="19">
        <f>VLOOKUP(B20,'Lookup untuk Perh Conf'!$K$2:$M$16,2,FALSE)</f>
        <v>4</v>
      </c>
      <c r="F20" s="19">
        <f>VLOOKUP(C20,'Lookup untuk Perh Conf'!$K$2:$M$16,3,FALSE)</f>
        <v>0.8</v>
      </c>
      <c r="G20" s="43">
        <f t="shared" si="0"/>
        <v>1</v>
      </c>
      <c r="H20" s="31">
        <f t="shared" si="1"/>
        <v>1.25</v>
      </c>
      <c r="I20" s="19" t="b">
        <f t="shared" si="2"/>
        <v>1</v>
      </c>
    </row>
    <row r="21" spans="1:9" x14ac:dyDescent="0.35">
      <c r="A21" s="25" t="s">
        <v>32</v>
      </c>
      <c r="B21" s="25" t="s">
        <v>16</v>
      </c>
      <c r="C21" s="25" t="s">
        <v>18</v>
      </c>
      <c r="D21" s="25">
        <f>VLOOKUP(A21,'Lookup untuk Perh Conf'!$K$2:$M$16,2, FALSE)</f>
        <v>3</v>
      </c>
      <c r="E21" s="25">
        <f>VLOOKUP(B21,'Lookup untuk Perh Conf'!$K$2:$M$16,2,FALSE)</f>
        <v>3</v>
      </c>
      <c r="F21" s="25">
        <f>VLOOKUP(C21,'Lookup untuk Perh Conf'!$K$2:$M$16,3,FALSE)</f>
        <v>0.6</v>
      </c>
      <c r="G21" s="48">
        <f t="shared" si="0"/>
        <v>1</v>
      </c>
      <c r="H21" s="36">
        <f t="shared" si="1"/>
        <v>1.6666666666666667</v>
      </c>
      <c r="I21" s="25" t="b">
        <f t="shared" si="2"/>
        <v>1</v>
      </c>
    </row>
    <row r="22" spans="1:9" x14ac:dyDescent="0.35">
      <c r="A22" s="25" t="s">
        <v>32</v>
      </c>
      <c r="B22" s="25" t="s">
        <v>18</v>
      </c>
      <c r="C22" s="25" t="s">
        <v>16</v>
      </c>
      <c r="D22" s="25">
        <f>VLOOKUP(A22,'Lookup untuk Perh Conf'!$K$2:$M$16,2, FALSE)</f>
        <v>3</v>
      </c>
      <c r="E22" s="25">
        <f>VLOOKUP(B22,'Lookup untuk Perh Conf'!$K$2:$M$16,2,FALSE)</f>
        <v>3</v>
      </c>
      <c r="F22" s="25">
        <f>VLOOKUP(C22,'Lookup untuk Perh Conf'!$K$2:$M$16,3,FALSE)</f>
        <v>0.6</v>
      </c>
      <c r="G22" s="48">
        <f t="shared" si="0"/>
        <v>1</v>
      </c>
      <c r="H22" s="36">
        <f t="shared" si="1"/>
        <v>1.6666666666666667</v>
      </c>
      <c r="I22" s="25" t="b">
        <f t="shared" si="2"/>
        <v>1</v>
      </c>
    </row>
    <row r="23" spans="1:9" x14ac:dyDescent="0.35">
      <c r="A23" s="11" t="s">
        <v>3</v>
      </c>
      <c r="B23" s="11" t="s">
        <v>18</v>
      </c>
      <c r="C23" s="11" t="s">
        <v>34</v>
      </c>
      <c r="D23" s="11">
        <f>VLOOKUP(A23,'Lookup untuk Perh Conf'!$K$2:$M$16,2, FALSE)</f>
        <v>2</v>
      </c>
      <c r="E23" s="11">
        <f>VLOOKUP(B23,'Lookup untuk Perh Conf'!$K$2:$M$16,2,FALSE)</f>
        <v>3</v>
      </c>
      <c r="F23" s="11">
        <f>VLOOKUP(C23,'Lookup untuk Perh Conf'!$K$2:$M$16,3,FALSE)</f>
        <v>0.4</v>
      </c>
      <c r="G23" s="13">
        <f t="shared" si="0"/>
        <v>0.66666666666666663</v>
      </c>
      <c r="H23" s="26">
        <f t="shared" si="1"/>
        <v>1.6666666666666665</v>
      </c>
      <c r="I23" s="11" t="b">
        <f t="shared" si="2"/>
        <v>0</v>
      </c>
    </row>
    <row r="24" spans="1:9" x14ac:dyDescent="0.35">
      <c r="A24" s="11" t="s">
        <v>3</v>
      </c>
      <c r="B24" s="11" t="s">
        <v>16</v>
      </c>
      <c r="C24" s="11" t="s">
        <v>35</v>
      </c>
      <c r="D24" s="11">
        <f>VLOOKUP(A24,'Lookup untuk Perh Conf'!$K$2:$M$16,2, FALSE)</f>
        <v>2</v>
      </c>
      <c r="E24" s="11">
        <f>VLOOKUP(B24,'Lookup untuk Perh Conf'!$K$2:$M$16,2,FALSE)</f>
        <v>3</v>
      </c>
      <c r="F24" s="11">
        <f>VLOOKUP(C24,'Lookup untuk Perh Conf'!$K$2:$M$16,3,FALSE)</f>
        <v>0.4</v>
      </c>
      <c r="G24" s="13">
        <f t="shared" si="0"/>
        <v>0.66666666666666663</v>
      </c>
      <c r="H24" s="26">
        <f t="shared" si="1"/>
        <v>1.6666666666666665</v>
      </c>
      <c r="I24" s="11" t="b">
        <f t="shared" si="2"/>
        <v>0</v>
      </c>
    </row>
    <row r="25" spans="1:9" x14ac:dyDescent="0.35">
      <c r="A25" s="11" t="s">
        <v>3</v>
      </c>
      <c r="B25" s="11" t="s">
        <v>32</v>
      </c>
      <c r="C25" s="11" t="s">
        <v>7</v>
      </c>
      <c r="D25" s="11">
        <f>VLOOKUP(A25,'Lookup untuk Perh Conf'!$K$2:$M$16,2, FALSE)</f>
        <v>2</v>
      </c>
      <c r="E25" s="11">
        <f>VLOOKUP(B25,'Lookup untuk Perh Conf'!$K$2:$M$16,2,FALSE)</f>
        <v>3</v>
      </c>
      <c r="F25" s="11">
        <f>VLOOKUP(C25,'Lookup untuk Perh Conf'!$K$2:$M$16,3,FALSE)</f>
        <v>0.8</v>
      </c>
      <c r="G25" s="13">
        <f t="shared" si="0"/>
        <v>0.66666666666666663</v>
      </c>
      <c r="H25" s="26">
        <f t="shared" si="1"/>
        <v>0.83333333333333326</v>
      </c>
      <c r="I25" s="11" t="b">
        <f t="shared" si="2"/>
        <v>0</v>
      </c>
    </row>
    <row r="26" spans="1:9" x14ac:dyDescent="0.35">
      <c r="A26" s="15" t="s">
        <v>34</v>
      </c>
      <c r="B26" s="15" t="s">
        <v>16</v>
      </c>
      <c r="C26" s="15" t="s">
        <v>7</v>
      </c>
      <c r="D26" s="15">
        <f>VLOOKUP(A26,'Lookup untuk Perh Conf'!$K$2:$M$16,2, FALSE)</f>
        <v>2</v>
      </c>
      <c r="E26" s="15">
        <f>VLOOKUP(B26,'Lookup untuk Perh Conf'!$K$2:$M$16,2,FALSE)</f>
        <v>3</v>
      </c>
      <c r="F26" s="15">
        <f>VLOOKUP(C26,'Lookup untuk Perh Conf'!$K$2:$M$16,3,FALSE)</f>
        <v>0.8</v>
      </c>
      <c r="G26" s="39">
        <f t="shared" si="0"/>
        <v>0.66666666666666663</v>
      </c>
      <c r="H26" s="27">
        <f t="shared" si="1"/>
        <v>0.83333333333333326</v>
      </c>
      <c r="I26" s="15" t="b">
        <f t="shared" si="2"/>
        <v>0</v>
      </c>
    </row>
    <row r="27" spans="1:9" x14ac:dyDescent="0.35">
      <c r="A27" s="16" t="s">
        <v>35</v>
      </c>
      <c r="B27" s="16" t="s">
        <v>18</v>
      </c>
      <c r="C27" s="16" t="s">
        <v>7</v>
      </c>
      <c r="D27" s="16">
        <f>VLOOKUP(A27,'Lookup untuk Perh Conf'!$K$2:$M$16,2, FALSE)</f>
        <v>2</v>
      </c>
      <c r="E27" s="16">
        <f>VLOOKUP(B27,'Lookup untuk Perh Conf'!$K$2:$M$16,2,FALSE)</f>
        <v>3</v>
      </c>
      <c r="F27" s="16">
        <f>VLOOKUP(C27,'Lookup untuk Perh Conf'!$K$2:$M$16,3,FALSE)</f>
        <v>0.8</v>
      </c>
      <c r="G27" s="40">
        <f t="shared" si="0"/>
        <v>0.66666666666666663</v>
      </c>
      <c r="H27" s="28">
        <f t="shared" si="1"/>
        <v>0.83333333333333326</v>
      </c>
      <c r="I27" s="16" t="b">
        <f t="shared" si="2"/>
        <v>0</v>
      </c>
    </row>
    <row r="28" spans="1:9" x14ac:dyDescent="0.35">
      <c r="A28" s="17" t="s">
        <v>36</v>
      </c>
      <c r="B28" s="17" t="s">
        <v>18</v>
      </c>
      <c r="C28" s="17" t="s">
        <v>28</v>
      </c>
      <c r="D28" s="17">
        <f>VLOOKUP(A28,'Lookup untuk Perh Conf'!$K$2:$M$16,2, FALSE)</f>
        <v>2</v>
      </c>
      <c r="E28" s="17">
        <f>VLOOKUP(B28,'Lookup untuk Perh Conf'!$K$2:$M$16,2,FALSE)</f>
        <v>3</v>
      </c>
      <c r="F28" s="17">
        <f>VLOOKUP(C28,'Lookup untuk Perh Conf'!$K$2:$M$16,3,FALSE)</f>
        <v>0.4</v>
      </c>
      <c r="G28" s="41">
        <f t="shared" si="0"/>
        <v>0.66666666666666663</v>
      </c>
      <c r="H28" s="29">
        <f t="shared" si="1"/>
        <v>1.6666666666666665</v>
      </c>
      <c r="I28" s="17" t="b">
        <f t="shared" si="2"/>
        <v>0</v>
      </c>
    </row>
    <row r="29" spans="1:9" x14ac:dyDescent="0.35">
      <c r="A29" s="17" t="s">
        <v>36</v>
      </c>
      <c r="B29" s="17" t="s">
        <v>16</v>
      </c>
      <c r="C29" s="17" t="s">
        <v>29</v>
      </c>
      <c r="D29" s="17">
        <f>VLOOKUP(A29,'Lookup untuk Perh Conf'!$K$2:$M$16,2, FALSE)</f>
        <v>2</v>
      </c>
      <c r="E29" s="17">
        <f>VLOOKUP(B29,'Lookup untuk Perh Conf'!$K$2:$M$16,2,FALSE)</f>
        <v>3</v>
      </c>
      <c r="F29" s="17">
        <f>VLOOKUP(C29,'Lookup untuk Perh Conf'!$K$2:$M$16,3,FALSE)</f>
        <v>0.4</v>
      </c>
      <c r="G29" s="41">
        <f t="shared" si="0"/>
        <v>0.66666666666666663</v>
      </c>
      <c r="H29" s="29">
        <f t="shared" si="1"/>
        <v>1.6666666666666665</v>
      </c>
      <c r="I29" s="17" t="b">
        <f t="shared" si="2"/>
        <v>0</v>
      </c>
    </row>
    <row r="30" spans="1:9" x14ac:dyDescent="0.35">
      <c r="A30" s="17" t="s">
        <v>36</v>
      </c>
      <c r="B30" s="17" t="s">
        <v>32</v>
      </c>
      <c r="C30" s="17" t="s">
        <v>13</v>
      </c>
      <c r="D30" s="17">
        <f>VLOOKUP(A30,'Lookup untuk Perh Conf'!$K$2:$M$16,2, FALSE)</f>
        <v>2</v>
      </c>
      <c r="E30" s="17">
        <f>VLOOKUP(B30,'Lookup untuk Perh Conf'!$K$2:$M$16,2,FALSE)</f>
        <v>3</v>
      </c>
      <c r="F30" s="17">
        <f>VLOOKUP(C30,'Lookup untuk Perh Conf'!$K$2:$M$16,3,FALSE)</f>
        <v>0.8</v>
      </c>
      <c r="G30" s="41">
        <f t="shared" si="0"/>
        <v>0.66666666666666663</v>
      </c>
      <c r="H30" s="29">
        <f t="shared" si="1"/>
        <v>0.83333333333333326</v>
      </c>
      <c r="I30" s="17" t="b">
        <f t="shared" si="2"/>
        <v>0</v>
      </c>
    </row>
    <row r="31" spans="1:9" x14ac:dyDescent="0.35">
      <c r="A31" s="18" t="s">
        <v>37</v>
      </c>
      <c r="B31" s="18" t="s">
        <v>18</v>
      </c>
      <c r="C31" s="18" t="s">
        <v>30</v>
      </c>
      <c r="D31" s="18">
        <f>VLOOKUP(A31,'Lookup untuk Perh Conf'!$K$2:$M$16,2, FALSE)</f>
        <v>2</v>
      </c>
      <c r="E31" s="18">
        <f>VLOOKUP(B31,'Lookup untuk Perh Conf'!$K$2:$M$16,2,FALSE)</f>
        <v>3</v>
      </c>
      <c r="F31" s="18">
        <f>VLOOKUP(C31,'Lookup untuk Perh Conf'!$K$2:$M$16,3,FALSE)</f>
        <v>0.4</v>
      </c>
      <c r="G31" s="42">
        <f t="shared" si="0"/>
        <v>0.66666666666666663</v>
      </c>
      <c r="H31" s="30">
        <f t="shared" si="1"/>
        <v>1.6666666666666665</v>
      </c>
      <c r="I31" s="18" t="b">
        <f t="shared" si="2"/>
        <v>0</v>
      </c>
    </row>
    <row r="32" spans="1:9" x14ac:dyDescent="0.35">
      <c r="A32" s="18" t="s">
        <v>37</v>
      </c>
      <c r="B32" s="18" t="s">
        <v>16</v>
      </c>
      <c r="C32" s="18" t="s">
        <v>31</v>
      </c>
      <c r="D32" s="18">
        <f>VLOOKUP(A32,'Lookup untuk Perh Conf'!$K$2:$M$16,2, FALSE)</f>
        <v>2</v>
      </c>
      <c r="E32" s="18">
        <f>VLOOKUP(B32,'Lookup untuk Perh Conf'!$K$2:$M$16,2,FALSE)</f>
        <v>3</v>
      </c>
      <c r="F32" s="18">
        <f>VLOOKUP(C32,'Lookup untuk Perh Conf'!$K$2:$M$16,3,FALSE)</f>
        <v>0.4</v>
      </c>
      <c r="G32" s="42">
        <f t="shared" si="0"/>
        <v>0.66666666666666663</v>
      </c>
      <c r="H32" s="30">
        <f t="shared" si="1"/>
        <v>1.6666666666666665</v>
      </c>
      <c r="I32" s="18" t="b">
        <f t="shared" si="2"/>
        <v>0</v>
      </c>
    </row>
    <row r="33" spans="1:9" x14ac:dyDescent="0.35">
      <c r="A33" s="18" t="s">
        <v>37</v>
      </c>
      <c r="B33" s="18" t="s">
        <v>32</v>
      </c>
      <c r="C33" s="18" t="s">
        <v>15</v>
      </c>
      <c r="D33" s="18">
        <f>VLOOKUP(A33,'Lookup untuk Perh Conf'!$K$2:$M$16,2, FALSE)</f>
        <v>2</v>
      </c>
      <c r="E33" s="18">
        <f>VLOOKUP(B33,'Lookup untuk Perh Conf'!$K$2:$M$16,2,FALSE)</f>
        <v>3</v>
      </c>
      <c r="F33" s="18">
        <f>VLOOKUP(C33,'Lookup untuk Perh Conf'!$K$2:$M$16,3,FALSE)</f>
        <v>0.8</v>
      </c>
      <c r="G33" s="42">
        <f t="shared" si="0"/>
        <v>0.66666666666666663</v>
      </c>
      <c r="H33" s="30">
        <f t="shared" si="1"/>
        <v>0.83333333333333326</v>
      </c>
      <c r="I33" s="18" t="b">
        <f t="shared" si="2"/>
        <v>0</v>
      </c>
    </row>
    <row r="34" spans="1:9" x14ac:dyDescent="0.35">
      <c r="A34" s="21" t="s">
        <v>28</v>
      </c>
      <c r="B34" s="21" t="s">
        <v>16</v>
      </c>
      <c r="C34" s="21" t="s">
        <v>13</v>
      </c>
      <c r="D34" s="21">
        <f>VLOOKUP(A34,'Lookup untuk Perh Conf'!$K$2:$M$16,2, FALSE)</f>
        <v>2</v>
      </c>
      <c r="E34" s="21">
        <f>VLOOKUP(B34,'Lookup untuk Perh Conf'!$K$2:$M$16,2,FALSE)</f>
        <v>3</v>
      </c>
      <c r="F34" s="21">
        <f>VLOOKUP(C34,'Lookup untuk Perh Conf'!$K$2:$M$16,3,FALSE)</f>
        <v>0.8</v>
      </c>
      <c r="G34" s="44">
        <f t="shared" si="0"/>
        <v>0.66666666666666663</v>
      </c>
      <c r="H34" s="32">
        <f t="shared" si="1"/>
        <v>0.83333333333333326</v>
      </c>
      <c r="I34" s="21" t="b">
        <f t="shared" si="2"/>
        <v>0</v>
      </c>
    </row>
    <row r="35" spans="1:9" x14ac:dyDescent="0.35">
      <c r="A35" s="22" t="s">
        <v>29</v>
      </c>
      <c r="B35" s="22" t="s">
        <v>18</v>
      </c>
      <c r="C35" s="22" t="s">
        <v>13</v>
      </c>
      <c r="D35" s="22">
        <f>VLOOKUP(A35,'Lookup untuk Perh Conf'!$K$2:$M$16,2, FALSE)</f>
        <v>2</v>
      </c>
      <c r="E35" s="22">
        <f>VLOOKUP(B35,'Lookup untuk Perh Conf'!$K$2:$M$16,2,FALSE)</f>
        <v>3</v>
      </c>
      <c r="F35" s="22">
        <f>VLOOKUP(C35,'Lookup untuk Perh Conf'!$K$2:$M$16,3,FALSE)</f>
        <v>0.8</v>
      </c>
      <c r="G35" s="45">
        <f t="shared" ref="G35:G52" si="3">D35/E35</f>
        <v>0.66666666666666663</v>
      </c>
      <c r="H35" s="33">
        <f t="shared" ref="H35:H66" si="4">G35/F35</f>
        <v>0.83333333333333326</v>
      </c>
      <c r="I35" s="22" t="b">
        <f t="shared" ref="I35:I52" si="5">G35&gt;=0.7</f>
        <v>0</v>
      </c>
    </row>
    <row r="36" spans="1:9" x14ac:dyDescent="0.35">
      <c r="A36" s="23" t="s">
        <v>30</v>
      </c>
      <c r="B36" s="23" t="s">
        <v>16</v>
      </c>
      <c r="C36" s="23" t="s">
        <v>15</v>
      </c>
      <c r="D36" s="23">
        <f>VLOOKUP(A36,'Lookup untuk Perh Conf'!$K$2:$M$16,2, FALSE)</f>
        <v>2</v>
      </c>
      <c r="E36" s="23">
        <f>VLOOKUP(B36,'Lookup untuk Perh Conf'!$K$2:$M$16,2,FALSE)</f>
        <v>3</v>
      </c>
      <c r="F36" s="23">
        <f>VLOOKUP(C36,'Lookup untuk Perh Conf'!$K$2:$M$16,3,FALSE)</f>
        <v>0.8</v>
      </c>
      <c r="G36" s="46">
        <f t="shared" si="3"/>
        <v>0.66666666666666663</v>
      </c>
      <c r="H36" s="34">
        <f t="shared" si="4"/>
        <v>0.83333333333333326</v>
      </c>
      <c r="I36" s="23" t="b">
        <f t="shared" si="5"/>
        <v>0</v>
      </c>
    </row>
    <row r="37" spans="1:9" x14ac:dyDescent="0.35">
      <c r="A37" s="24" t="s">
        <v>31</v>
      </c>
      <c r="B37" s="24" t="s">
        <v>18</v>
      </c>
      <c r="C37" s="24" t="s">
        <v>15</v>
      </c>
      <c r="D37" s="24">
        <f>VLOOKUP(A37,'Lookup untuk Perh Conf'!$K$2:$M$16,2, FALSE)</f>
        <v>2</v>
      </c>
      <c r="E37" s="24">
        <f>VLOOKUP(B37,'Lookup untuk Perh Conf'!$K$2:$M$16,2,FALSE)</f>
        <v>3</v>
      </c>
      <c r="F37" s="24">
        <f>VLOOKUP(C37,'Lookup untuk Perh Conf'!$K$2:$M$16,3,FALSE)</f>
        <v>0.8</v>
      </c>
      <c r="G37" s="47">
        <f t="shared" si="3"/>
        <v>0.66666666666666663</v>
      </c>
      <c r="H37" s="35">
        <f t="shared" si="4"/>
        <v>0.83333333333333326</v>
      </c>
      <c r="I37" s="24" t="b">
        <f t="shared" si="5"/>
        <v>0</v>
      </c>
    </row>
    <row r="38" spans="1:9" x14ac:dyDescent="0.35">
      <c r="A38" s="11" t="s">
        <v>3</v>
      </c>
      <c r="B38" s="11" t="s">
        <v>15</v>
      </c>
      <c r="C38" s="11" t="s">
        <v>36</v>
      </c>
      <c r="D38" s="11">
        <f>VLOOKUP(A38,'Lookup untuk Perh Conf'!$K$2:$M$16,2, FALSE)</f>
        <v>2</v>
      </c>
      <c r="E38" s="11">
        <f>VLOOKUP(B38,'Lookup untuk Perh Conf'!$K$2:$M$16,2,FALSE)</f>
        <v>4</v>
      </c>
      <c r="F38" s="11">
        <f>VLOOKUP(C38,'Lookup untuk Perh Conf'!$K$2:$M$16,3,FALSE)</f>
        <v>0.4</v>
      </c>
      <c r="G38" s="13">
        <f t="shared" si="3"/>
        <v>0.5</v>
      </c>
      <c r="H38" s="26">
        <f t="shared" si="4"/>
        <v>1.25</v>
      </c>
      <c r="I38" s="11" t="b">
        <f t="shared" si="5"/>
        <v>0</v>
      </c>
    </row>
    <row r="39" spans="1:9" x14ac:dyDescent="0.35">
      <c r="A39" s="11" t="s">
        <v>3</v>
      </c>
      <c r="B39" s="11" t="s">
        <v>13</v>
      </c>
      <c r="C39" s="11" t="s">
        <v>37</v>
      </c>
      <c r="D39" s="11">
        <f>VLOOKUP(A39,'Lookup untuk Perh Conf'!$K$2:$M$16,2, FALSE)</f>
        <v>2</v>
      </c>
      <c r="E39" s="11">
        <f>VLOOKUP(B39,'Lookup untuk Perh Conf'!$K$2:$M$16,2,FALSE)</f>
        <v>4</v>
      </c>
      <c r="F39" s="11">
        <f>VLOOKUP(C39,'Lookup untuk Perh Conf'!$K$2:$M$16,3,FALSE)</f>
        <v>0.4</v>
      </c>
      <c r="G39" s="13">
        <f t="shared" si="3"/>
        <v>0.5</v>
      </c>
      <c r="H39" s="26">
        <f t="shared" si="4"/>
        <v>1.25</v>
      </c>
      <c r="I39" s="11" t="b">
        <f t="shared" si="5"/>
        <v>0</v>
      </c>
    </row>
    <row r="40" spans="1:9" x14ac:dyDescent="0.35">
      <c r="A40" s="11" t="s">
        <v>3</v>
      </c>
      <c r="B40" s="11" t="s">
        <v>7</v>
      </c>
      <c r="C40" s="11" t="s">
        <v>32</v>
      </c>
      <c r="D40" s="11">
        <f>VLOOKUP(A40,'Lookup untuk Perh Conf'!$K$2:$M$16,2, FALSE)</f>
        <v>2</v>
      </c>
      <c r="E40" s="11">
        <f>VLOOKUP(B40,'Lookup untuk Perh Conf'!$K$2:$M$16,2,FALSE)</f>
        <v>4</v>
      </c>
      <c r="F40" s="11">
        <f>VLOOKUP(C40,'Lookup untuk Perh Conf'!$K$2:$M$16,3,FALSE)</f>
        <v>0.6</v>
      </c>
      <c r="G40" s="13">
        <f t="shared" si="3"/>
        <v>0.5</v>
      </c>
      <c r="H40" s="26">
        <f t="shared" si="4"/>
        <v>0.83333333333333337</v>
      </c>
      <c r="I40" s="11" t="b">
        <f t="shared" si="5"/>
        <v>0</v>
      </c>
    </row>
    <row r="41" spans="1:9" x14ac:dyDescent="0.35">
      <c r="A41" s="15" t="s">
        <v>34</v>
      </c>
      <c r="B41" s="15" t="s">
        <v>7</v>
      </c>
      <c r="C41" s="15" t="s">
        <v>16</v>
      </c>
      <c r="D41" s="15">
        <f>VLOOKUP(A41,'Lookup untuk Perh Conf'!$K$2:$M$16,2, FALSE)</f>
        <v>2</v>
      </c>
      <c r="E41" s="15">
        <f>VLOOKUP(B41,'Lookup untuk Perh Conf'!$K$2:$M$16,2,FALSE)</f>
        <v>4</v>
      </c>
      <c r="F41" s="15">
        <f>VLOOKUP(C41,'Lookup untuk Perh Conf'!$K$2:$M$16,3,FALSE)</f>
        <v>0.6</v>
      </c>
      <c r="G41" s="39">
        <f t="shared" si="3"/>
        <v>0.5</v>
      </c>
      <c r="H41" s="27">
        <f t="shared" si="4"/>
        <v>0.83333333333333337</v>
      </c>
      <c r="I41" s="15" t="b">
        <f t="shared" si="5"/>
        <v>0</v>
      </c>
    </row>
    <row r="42" spans="1:9" x14ac:dyDescent="0.35">
      <c r="A42" s="15" t="s">
        <v>34</v>
      </c>
      <c r="B42" s="15" t="s">
        <v>15</v>
      </c>
      <c r="C42" s="15" t="s">
        <v>28</v>
      </c>
      <c r="D42" s="15">
        <f>VLOOKUP(A42,'Lookup untuk Perh Conf'!$K$2:$M$16,2, FALSE)</f>
        <v>2</v>
      </c>
      <c r="E42" s="15">
        <f>VLOOKUP(B42,'Lookup untuk Perh Conf'!$K$2:$M$16,2,FALSE)</f>
        <v>4</v>
      </c>
      <c r="F42" s="15">
        <f>VLOOKUP(C42,'Lookup untuk Perh Conf'!$K$2:$M$16,3,FALSE)</f>
        <v>0.4</v>
      </c>
      <c r="G42" s="39">
        <f t="shared" si="3"/>
        <v>0.5</v>
      </c>
      <c r="H42" s="27">
        <f t="shared" si="4"/>
        <v>1.25</v>
      </c>
      <c r="I42" s="15" t="b">
        <f t="shared" si="5"/>
        <v>0</v>
      </c>
    </row>
    <row r="43" spans="1:9" x14ac:dyDescent="0.35">
      <c r="A43" s="15" t="s">
        <v>34</v>
      </c>
      <c r="B43" s="15" t="s">
        <v>13</v>
      </c>
      <c r="C43" s="15" t="s">
        <v>30</v>
      </c>
      <c r="D43" s="15">
        <f>VLOOKUP(A43,'Lookup untuk Perh Conf'!$K$2:$M$16,2, FALSE)</f>
        <v>2</v>
      </c>
      <c r="E43" s="15">
        <f>VLOOKUP(B43,'Lookup untuk Perh Conf'!$K$2:$M$16,2,FALSE)</f>
        <v>4</v>
      </c>
      <c r="F43" s="15">
        <f>VLOOKUP(C43,'Lookup untuk Perh Conf'!$K$2:$M$16,3,FALSE)</f>
        <v>0.4</v>
      </c>
      <c r="G43" s="39">
        <f t="shared" si="3"/>
        <v>0.5</v>
      </c>
      <c r="H43" s="27">
        <f t="shared" si="4"/>
        <v>1.25</v>
      </c>
      <c r="I43" s="15" t="b">
        <f t="shared" si="5"/>
        <v>0</v>
      </c>
    </row>
    <row r="44" spans="1:9" x14ac:dyDescent="0.35">
      <c r="A44" s="16" t="s">
        <v>35</v>
      </c>
      <c r="B44" s="16" t="s">
        <v>7</v>
      </c>
      <c r="C44" s="16" t="s">
        <v>18</v>
      </c>
      <c r="D44" s="16">
        <f>VLOOKUP(A44,'Lookup untuk Perh Conf'!$K$2:$M$16,2, FALSE)</f>
        <v>2</v>
      </c>
      <c r="E44" s="16">
        <f>VLOOKUP(B44,'Lookup untuk Perh Conf'!$K$2:$M$16,2,FALSE)</f>
        <v>4</v>
      </c>
      <c r="F44" s="16">
        <f>VLOOKUP(C44,'Lookup untuk Perh Conf'!$K$2:$M$16,3,FALSE)</f>
        <v>0.6</v>
      </c>
      <c r="G44" s="40">
        <f t="shared" si="3"/>
        <v>0.5</v>
      </c>
      <c r="H44" s="28">
        <f t="shared" si="4"/>
        <v>0.83333333333333337</v>
      </c>
      <c r="I44" s="16" t="b">
        <f t="shared" si="5"/>
        <v>0</v>
      </c>
    </row>
    <row r="45" spans="1:9" x14ac:dyDescent="0.35">
      <c r="A45" s="16" t="s">
        <v>35</v>
      </c>
      <c r="B45" s="16" t="s">
        <v>15</v>
      </c>
      <c r="C45" s="16" t="s">
        <v>29</v>
      </c>
      <c r="D45" s="16">
        <f>VLOOKUP(A45,'Lookup untuk Perh Conf'!$K$2:$M$16,2, FALSE)</f>
        <v>2</v>
      </c>
      <c r="E45" s="16">
        <f>VLOOKUP(B45,'Lookup untuk Perh Conf'!$K$2:$M$16,2,FALSE)</f>
        <v>4</v>
      </c>
      <c r="F45" s="16">
        <f>VLOOKUP(C45,'Lookup untuk Perh Conf'!$K$2:$M$16,3,FALSE)</f>
        <v>0.4</v>
      </c>
      <c r="G45" s="40">
        <f t="shared" si="3"/>
        <v>0.5</v>
      </c>
      <c r="H45" s="28">
        <f t="shared" si="4"/>
        <v>1.25</v>
      </c>
      <c r="I45" s="16" t="b">
        <f t="shared" si="5"/>
        <v>0</v>
      </c>
    </row>
    <row r="46" spans="1:9" x14ac:dyDescent="0.35">
      <c r="A46" s="16" t="s">
        <v>35</v>
      </c>
      <c r="B46" s="16" t="s">
        <v>13</v>
      </c>
      <c r="C46" s="16" t="s">
        <v>31</v>
      </c>
      <c r="D46" s="16">
        <f>VLOOKUP(A46,'Lookup untuk Perh Conf'!$K$2:$M$16,2, FALSE)</f>
        <v>2</v>
      </c>
      <c r="E46" s="16">
        <f>VLOOKUP(B46,'Lookup untuk Perh Conf'!$K$2:$M$16,2,FALSE)</f>
        <v>4</v>
      </c>
      <c r="F46" s="16">
        <f>VLOOKUP(C46,'Lookup untuk Perh Conf'!$K$2:$M$16,3,FALSE)</f>
        <v>0.4</v>
      </c>
      <c r="G46" s="40">
        <f t="shared" si="3"/>
        <v>0.5</v>
      </c>
      <c r="H46" s="28">
        <f t="shared" si="4"/>
        <v>1.25</v>
      </c>
      <c r="I46" s="16" t="b">
        <f t="shared" si="5"/>
        <v>0</v>
      </c>
    </row>
    <row r="47" spans="1:9" x14ac:dyDescent="0.35">
      <c r="A47" s="17" t="s">
        <v>36</v>
      </c>
      <c r="B47" s="17" t="s">
        <v>13</v>
      </c>
      <c r="C47" s="17" t="s">
        <v>32</v>
      </c>
      <c r="D47" s="17">
        <f>VLOOKUP(A47,'Lookup untuk Perh Conf'!$K$2:$M$16,2, FALSE)</f>
        <v>2</v>
      </c>
      <c r="E47" s="17">
        <f>VLOOKUP(B47,'Lookup untuk Perh Conf'!$K$2:$M$16,2,FALSE)</f>
        <v>4</v>
      </c>
      <c r="F47" s="17">
        <f>VLOOKUP(C47,'Lookup untuk Perh Conf'!$K$2:$M$16,3,FALSE)</f>
        <v>0.6</v>
      </c>
      <c r="G47" s="41">
        <f t="shared" si="3"/>
        <v>0.5</v>
      </c>
      <c r="H47" s="29">
        <f t="shared" si="4"/>
        <v>0.83333333333333337</v>
      </c>
      <c r="I47" s="17" t="b">
        <f t="shared" si="5"/>
        <v>0</v>
      </c>
    </row>
    <row r="48" spans="1:9" x14ac:dyDescent="0.35">
      <c r="A48" s="18" t="s">
        <v>37</v>
      </c>
      <c r="B48" s="18" t="s">
        <v>15</v>
      </c>
      <c r="C48" s="18" t="s">
        <v>32</v>
      </c>
      <c r="D48" s="18">
        <f>VLOOKUP(A48,'Lookup untuk Perh Conf'!$K$2:$M$16,2, FALSE)</f>
        <v>2</v>
      </c>
      <c r="E48" s="18">
        <f>VLOOKUP(B48,'Lookup untuk Perh Conf'!$K$2:$M$16,2,FALSE)</f>
        <v>4</v>
      </c>
      <c r="F48" s="18">
        <f>VLOOKUP(C48,'Lookup untuk Perh Conf'!$K$2:$M$16,3,FALSE)</f>
        <v>0.6</v>
      </c>
      <c r="G48" s="42">
        <f t="shared" si="3"/>
        <v>0.5</v>
      </c>
      <c r="H48" s="30">
        <f t="shared" si="4"/>
        <v>0.83333333333333337</v>
      </c>
      <c r="I48" s="18" t="b">
        <f t="shared" si="5"/>
        <v>0</v>
      </c>
    </row>
    <row r="49" spans="1:9" x14ac:dyDescent="0.35">
      <c r="A49" s="21" t="s">
        <v>28</v>
      </c>
      <c r="B49" s="21" t="s">
        <v>13</v>
      </c>
      <c r="C49" s="21" t="s">
        <v>16</v>
      </c>
      <c r="D49" s="21">
        <f>VLOOKUP(A49,'Lookup untuk Perh Conf'!$K$2:$M$16,2, FALSE)</f>
        <v>2</v>
      </c>
      <c r="E49" s="21">
        <f>VLOOKUP(B49,'Lookup untuk Perh Conf'!$K$2:$M$16,2,FALSE)</f>
        <v>4</v>
      </c>
      <c r="F49" s="21">
        <f>VLOOKUP(C49,'Lookup untuk Perh Conf'!$K$2:$M$16,3,FALSE)</f>
        <v>0.6</v>
      </c>
      <c r="G49" s="44">
        <f t="shared" si="3"/>
        <v>0.5</v>
      </c>
      <c r="H49" s="32">
        <f t="shared" si="4"/>
        <v>0.83333333333333337</v>
      </c>
      <c r="I49" s="21" t="b">
        <f t="shared" si="5"/>
        <v>0</v>
      </c>
    </row>
    <row r="50" spans="1:9" x14ac:dyDescent="0.35">
      <c r="A50" s="22" t="s">
        <v>29</v>
      </c>
      <c r="B50" s="22" t="s">
        <v>13</v>
      </c>
      <c r="C50" s="22" t="s">
        <v>18</v>
      </c>
      <c r="D50" s="22">
        <f>VLOOKUP(A50,'Lookup untuk Perh Conf'!$K$2:$M$16,2, FALSE)</f>
        <v>2</v>
      </c>
      <c r="E50" s="22">
        <f>VLOOKUP(B50,'Lookup untuk Perh Conf'!$K$2:$M$16,2,FALSE)</f>
        <v>4</v>
      </c>
      <c r="F50" s="22">
        <f>VLOOKUP(C50,'Lookup untuk Perh Conf'!$K$2:$M$16,3,FALSE)</f>
        <v>0.6</v>
      </c>
      <c r="G50" s="45">
        <f t="shared" si="3"/>
        <v>0.5</v>
      </c>
      <c r="H50" s="33">
        <f t="shared" si="4"/>
        <v>0.83333333333333337</v>
      </c>
      <c r="I50" s="22" t="b">
        <f t="shared" si="5"/>
        <v>0</v>
      </c>
    </row>
    <row r="51" spans="1:9" x14ac:dyDescent="0.35">
      <c r="A51" s="23" t="s">
        <v>30</v>
      </c>
      <c r="B51" s="23" t="s">
        <v>15</v>
      </c>
      <c r="C51" s="23" t="s">
        <v>16</v>
      </c>
      <c r="D51" s="23">
        <f>VLOOKUP(A51,'Lookup untuk Perh Conf'!$K$2:$M$16,2, FALSE)</f>
        <v>2</v>
      </c>
      <c r="E51" s="23">
        <f>VLOOKUP(B51,'Lookup untuk Perh Conf'!$K$2:$M$16,2,FALSE)</f>
        <v>4</v>
      </c>
      <c r="F51" s="23">
        <f>VLOOKUP(C51,'Lookup untuk Perh Conf'!$K$2:$M$16,3,FALSE)</f>
        <v>0.6</v>
      </c>
      <c r="G51" s="46">
        <f t="shared" si="3"/>
        <v>0.5</v>
      </c>
      <c r="H51" s="34">
        <f t="shared" si="4"/>
        <v>0.83333333333333337</v>
      </c>
      <c r="I51" s="23" t="b">
        <f t="shared" si="5"/>
        <v>0</v>
      </c>
    </row>
    <row r="52" spans="1:9" x14ac:dyDescent="0.35">
      <c r="A52" s="24" t="s">
        <v>31</v>
      </c>
      <c r="B52" s="24" t="s">
        <v>15</v>
      </c>
      <c r="C52" s="24" t="s">
        <v>18</v>
      </c>
      <c r="D52" s="24">
        <f>VLOOKUP(A52,'Lookup untuk Perh Conf'!$K$2:$M$16,2, FALSE)</f>
        <v>2</v>
      </c>
      <c r="E52" s="24">
        <f>VLOOKUP(B52,'Lookup untuk Perh Conf'!$K$2:$M$16,2,FALSE)</f>
        <v>4</v>
      </c>
      <c r="F52" s="24">
        <f>VLOOKUP(C52,'Lookup untuk Perh Conf'!$K$2:$M$16,3,FALSE)</f>
        <v>0.6</v>
      </c>
      <c r="G52" s="47">
        <f t="shared" si="3"/>
        <v>0.5</v>
      </c>
      <c r="H52" s="35">
        <f t="shared" si="4"/>
        <v>0.83333333333333337</v>
      </c>
      <c r="I52" s="24" t="b">
        <f t="shared" si="5"/>
        <v>0</v>
      </c>
    </row>
  </sheetData>
  <sortState xmlns:xlrd2="http://schemas.microsoft.com/office/spreadsheetml/2017/richdata2" ref="A3:I52">
    <sortCondition descending="1" ref="G4:G52"/>
  </sortState>
  <mergeCells count="1">
    <mergeCell ref="D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 (2)</vt:lpstr>
      <vt:lpstr>Lookup untuk Perh Conf</vt:lpstr>
      <vt:lpstr>Hitung Conf</vt:lpstr>
      <vt:lpstr>Hitung Conf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Candra</dc:creator>
  <cp:lastModifiedBy>abdul.ajhari@binus.ac.id</cp:lastModifiedBy>
  <dcterms:created xsi:type="dcterms:W3CDTF">2021-04-10T11:53:54Z</dcterms:created>
  <dcterms:modified xsi:type="dcterms:W3CDTF">2021-04-11T13:22:17Z</dcterms:modified>
</cp:coreProperties>
</file>