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6538D970-9CCB-45C9-B848-8F3E0DCF2C8B}" xr6:coauthVersionLast="47" xr6:coauthVersionMax="47" xr10:uidLastSave="{00000000-0000-0000-0000-000000000000}"/>
  <bookViews>
    <workbookView xWindow="-23148" yWindow="-108" windowWidth="23256" windowHeight="13176" tabRatio="807" firstSheet="1" activeTab="1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26" i="1" l="1"/>
  <c r="D61" i="1"/>
  <c r="C26" i="2"/>
  <c r="D67" i="1"/>
  <c r="D71" i="1"/>
  <c r="D52" i="1"/>
  <c r="D7" i="1"/>
  <c r="D11" i="1" s="1"/>
  <c r="D8" i="1"/>
  <c r="D9" i="1" s="1"/>
  <c r="D17" i="1"/>
  <c r="C14" i="2"/>
  <c r="D53" i="1" l="1"/>
  <c r="C32" i="2"/>
  <c r="C21" i="2"/>
  <c r="C22" i="2" s="1"/>
  <c r="C23" i="2" s="1"/>
  <c r="C17" i="2"/>
  <c r="A15" i="13"/>
  <c r="C17" i="13"/>
  <c r="C13" i="2"/>
  <c r="D12" i="2" s="1"/>
  <c r="H12" i="14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19" i="1"/>
  <c r="D18" i="1"/>
  <c r="C25" i="2" s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N25" i="14" l="1"/>
  <c r="R8" i="7"/>
  <c r="M27" i="14"/>
  <c r="M26" i="14"/>
  <c r="H7" i="1"/>
  <c r="N32" i="14" l="1"/>
  <c r="N17" i="14"/>
  <c r="N19" i="14" s="1"/>
  <c r="N8" i="7" s="1"/>
  <c r="N26" i="14"/>
  <c r="N27" i="14"/>
  <c r="C3" i="5"/>
  <c r="D50" i="1"/>
  <c r="D54" i="1" s="1"/>
  <c r="C29" i="2" s="1"/>
  <c r="D10" i="1"/>
  <c r="C28" i="2" l="1"/>
  <c r="I28" i="14"/>
  <c r="P14" i="14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l="1"/>
  <c r="D73" i="1" s="1"/>
  <c r="D64" i="1"/>
  <c r="D72" i="1" s="1"/>
  <c r="O17" i="14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33" i="2" l="1"/>
  <c r="P27" i="14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6" i="7"/>
  <c r="O29" i="14" l="1"/>
  <c r="O10" i="7" s="1"/>
  <c r="P29" i="14"/>
  <c r="P10" i="7" s="1"/>
  <c r="Q17" i="14"/>
  <c r="Q19" i="14" s="1"/>
  <c r="Q8" i="7" s="1"/>
  <c r="Q25" i="14"/>
  <c r="Q26" i="14" s="1"/>
  <c r="C11" i="7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I11" i="7"/>
  <c r="I13" i="7" s="1"/>
  <c r="P11" i="7"/>
  <c r="F11" i="7"/>
  <c r="F13" i="7" s="1"/>
  <c r="F15" i="7" s="1"/>
  <c r="B6" i="3"/>
  <c r="C7" i="7"/>
  <c r="B5" i="3"/>
  <c r="D13" i="7" l="1"/>
  <c r="D15" i="7" s="1"/>
  <c r="C13" i="7"/>
  <c r="C15" i="7" s="1"/>
  <c r="P13" i="7"/>
  <c r="P15" i="7" s="1"/>
  <c r="O13" i="7"/>
  <c r="O15" i="7" s="1"/>
  <c r="Q27" i="14"/>
  <c r="Q28" i="14"/>
  <c r="R11" i="7"/>
  <c r="I15" i="7"/>
  <c r="H13" i="7"/>
  <c r="G29" i="7" l="1"/>
  <c r="H18" i="7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9" i="2"/>
  <c r="C4" i="7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<sst xmlns="http://schemas.openxmlformats.org/spreadsheetml/2006/main" count="470" uniqueCount="223">
  <si>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</si>
  <si>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</si>
  <si>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</si>
  <si>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</si>
  <si>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</si>
  <si>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</si>
  <si>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</si>
  <si>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</si>
  <si>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</si>
  <si>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</si>
  <si>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</si>
  <si>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</si>
  <si>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</si>
  <si>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</si>
  <si>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</si>
  <si>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</si>
  <si>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</si>
  <si>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</si>
  <si>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</si>
  <si>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</si>
  <si>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</si>
  <si>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</si>
  <si>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</si>
  <si>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</si>
  <si>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</si>
  <si>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</si>
  <si>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</si>
  <si>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</si>
  <si>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</si>
  <si>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</si>
  <si>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</si>
  <si>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</si>
  <si>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</si>
  <si>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</si>
  <si>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</si>
  <si>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</si>
  <si>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</si>
  <si>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</si>
  <si>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</si>
  <si>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</si>
  <si>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</si>
  <si>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</si>
  <si>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</si>
  <si>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</si>
  <si>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</si>
  <si>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</si>
  <si>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</si>
  <si>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</si>
  <si>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</si>
  <si>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</si>
  <si>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</si>
  <si>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</si>
  <si>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</si>
  <si>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</si>
  <si>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</si>
  <si>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</si>
  <si>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</si>
  <si>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</si>
  <si>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</si>
  <si>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</si>
  <si>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</si>
  <si>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</si>
  <si>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</si>
  <si>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</si>
  <si>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</si>
  <si>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</si>
  <si>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</si>
  <si>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</si>
  <si>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</si>
  <si>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</si>
  <si>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</si>
  <si>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</si>
  <si>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</si>
  <si>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</si>
  <si>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</si>
  <si>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</si>
  <si>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</si>
  <si>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</si>
  <si>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</si>
  <si>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</si>
  <si>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</si>
  <si>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</si>
  <si>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</si>
  <si>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</si>
  <si>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</si>
  <si>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</si>
  <si>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</si>
  <si>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</si>
  <si>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</si>
  <si>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</si>
  <si>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</si>
  <si>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</si>
  <si>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</si>
  <si>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</si>
  <si>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</si>
  <si>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</si>
  <si>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</si>
  <si>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</si>
  <si>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</si>
  <si>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</si>
  <si>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</si>
  <si>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</si>
  <si>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</si>
  <si>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</si>
  <si>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</si>
  <si>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</si>
  <si>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</si>
  <si>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</si>
  <si>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</si>
  <si>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</si>
  <si>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</si>
  <si>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</si>
  <si>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</si>
  <si>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</si>
  <si>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</si>
  <si>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</si>
  <si>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</si>
  <si>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</si>
  <si>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</si>
  <si>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</si>
  <si>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</si>
  <si>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</si>
  <si>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</si>
  <si>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</si>
  <si>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</si>
  <si>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</si>
  <si>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</si>
  <si>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</si>
  <si>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</si>
  <si>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</si>
  <si>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</si>
  <si>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</si>
  <si>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</si>
  <si>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</si>
  <si>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</si>
  <si>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</si>
  <si>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</si>
  <si>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</si>
  <si>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</si>
  <si>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</si>
  <si>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</si>
  <si>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</si>
  <si>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</si>
  <si>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</si>
  <si>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</si>
  <si>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</si>
  <si>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</si>
  <si>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</si>
  <si>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</si>
  <si>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</si>
  <si>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</si>
  <si>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</si>
  <si>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</si>
  <si>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</si>
  <si>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</si>
  <si>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</si>
  <si>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</si>
  <si>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</si>
  <si>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</si>
  <si>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</si>
  <si>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</si>
  <si>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</si>
  <si>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</si>
  <si>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</si>
  <si>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</si>
  <si>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</si>
  <si>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</si>
  <si>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</si>
  <si>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</si>
  <si>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</si>
  <si>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</si>
  <si>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</si>
  <si>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</si>
  <si>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</si>
  <si>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</si>
  <si>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</si>
  <si>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</si>
  <si>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</si>
  <si>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</si>
  <si>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</si>
  <si>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</si>
  <si>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</si>
  <si>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</si>
  <si>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</si>
  <si>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</si>
  <si>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</si>
  <si>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</si>
  <si>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</si>
  <si>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</si>
  <si>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</si>
  <si>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</si>
  <si>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</si>
  <si>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</si>
  <si>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</si>
  <si>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</si>
  <si>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</si>
  <si>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</si>
  <si>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</si>
  <si>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</si>
  <si>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</si>
  <si>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</si>
  <si>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</si>
  <si>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</si>
  <si>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</si>
  <si>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</si>
  <si>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</si>
  <si>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</si>
  <si>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</si>
  <si>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</si>
  <si>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</si>
  <si>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</si>
  <si>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</si>
  <si>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</si>
  <si>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</si>
  <si>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</si>
  <si>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</si>
  <si>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</si>
  <si>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</si>
  <si>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</si>
  <si>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</si>
  <si>
    <t>Observationer data</t>
  </si>
  <si>
    <t>avg. delay per failure</t>
  </si>
  <si>
    <t>https://www.trafa.se/globalassets/pm/2023/pm-2023_1-transportsektorns-samhallsekonomiska-kostnader-2022---bilagor.pdf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</si>
</sst>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9" fillId="21" borderId="0" xfId="0" applyFont="1" applyFill="1"/>
    <xf numFmtId="0" fontId="0" fillId="21" borderId="0" xfId="0" applyFill="1"/>
    <xf numFmtId="167" fontId="9" fillId="21" borderId="0" xfId="0" applyNumberFormat="1" applyFont="1" applyFill="1"/>
    <xf numFmtId="0" fontId="12" fillId="0" borderId="0" xfId="5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6">
    <cellStyle name="Bra" xfId="2" builtinId="26"/>
    <cellStyle name="Hyperlänk" xfId="5" builtinId="8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1119.1613243558936</c:v>
                </c:pt>
                <c:pt idx="1">
                  <c:v>1813.9253916623068</c:v>
                </c:pt>
                <c:pt idx="2">
                  <c:v>2173.8581597935736</c:v>
                </c:pt>
                <c:pt idx="3">
                  <c:v>2413.7431330015856</c:v>
                </c:pt>
                <c:pt idx="4">
                  <c:v>2583.5432741125737</c:v>
                </c:pt>
                <c:pt idx="5">
                  <c:v>2705.9269740015143</c:v>
                </c:pt>
                <c:pt idx="6">
                  <c:v>2793.682181103577</c:v>
                </c:pt>
                <c:pt idx="7">
                  <c:v>2854.9502404994123</c:v>
                </c:pt>
                <c:pt idx="8">
                  <c:v>2895.333325477025</c:v>
                </c:pt>
                <c:pt idx="9">
                  <c:v>2918.9006335111567</c:v>
                </c:pt>
                <c:pt idx="10">
                  <c:v>2928.7271860465885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1471.4897776547728</c:v>
                </c:pt>
                <c:pt idx="1">
                  <c:v>6965.8746734851375</c:v>
                </c:pt>
                <c:pt idx="2">
                  <c:v>15444.251099653071</c:v>
                </c:pt>
                <c:pt idx="3">
                  <c:v>26379.310192736928</c:v>
                </c:pt>
                <c:pt idx="4">
                  <c:v>39258.646304420348</c:v>
                </c:pt>
                <c:pt idx="5">
                  <c:v>53622.79755760252</c:v>
                </c:pt>
                <c:pt idx="6">
                  <c:v>69062.343236469809</c:v>
                </c:pt>
                <c:pt idx="7">
                  <c:v>85214.818884324559</c:v>
                </c:pt>
                <c:pt idx="8">
                  <c:v>101761.80084376346</c:v>
                </c:pt>
                <c:pt idx="9">
                  <c:v>118426.03358237172</c:v>
                </c:pt>
                <c:pt idx="10">
                  <c:v>134968.5498794977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55.794250830733674</c:v>
                </c:pt>
                <c:pt idx="1">
                  <c:v>264.12399507614356</c:v>
                </c:pt>
                <c:pt idx="2">
                  <c:v>585.59728571151652</c:v>
                </c:pt>
                <c:pt idx="3">
                  <c:v>1000.2202339326049</c:v>
                </c:pt>
                <c:pt idx="4">
                  <c:v>1488.5640338425628</c:v>
                </c:pt>
                <c:pt idx="5">
                  <c:v>2033.2073403478621</c:v>
                </c:pt>
                <c:pt idx="6">
                  <c:v>2618.6262113455468</c:v>
                </c:pt>
                <c:pt idx="7">
                  <c:v>3231.0771379636462</c:v>
                </c:pt>
                <c:pt idx="8">
                  <c:v>3858.4864995210037</c:v>
                </c:pt>
                <c:pt idx="9">
                  <c:v>4490.3416407789182</c:v>
                </c:pt>
                <c:pt idx="10">
                  <c:v>5117.581678507463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1119.1613243558936</c:v>
                </c:pt>
                <c:pt idx="1">
                  <c:v>1813.9253916623068</c:v>
                </c:pt>
                <c:pt idx="2">
                  <c:v>2173.8581597935736</c:v>
                </c:pt>
                <c:pt idx="3">
                  <c:v>2413.7431330015856</c:v>
                </c:pt>
                <c:pt idx="4">
                  <c:v>2583.5432741125737</c:v>
                </c:pt>
                <c:pt idx="5">
                  <c:v>2705.9269740015143</c:v>
                </c:pt>
                <c:pt idx="6">
                  <c:v>2793.682181103577</c:v>
                </c:pt>
                <c:pt idx="7">
                  <c:v>2854.9502404994123</c:v>
                </c:pt>
                <c:pt idx="8">
                  <c:v>2895.333325477025</c:v>
                </c:pt>
                <c:pt idx="9">
                  <c:v>2918.9006335111567</c:v>
                </c:pt>
                <c:pt idx="10">
                  <c:v>2928.7271860465885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1471.4897776547728</c:v>
                </c:pt>
                <c:pt idx="1">
                  <c:v>6965.8746734851375</c:v>
                </c:pt>
                <c:pt idx="2">
                  <c:v>15444.251099653071</c:v>
                </c:pt>
                <c:pt idx="3">
                  <c:v>26379.310192736928</c:v>
                </c:pt>
                <c:pt idx="4">
                  <c:v>39258.646304420348</c:v>
                </c:pt>
                <c:pt idx="5">
                  <c:v>53622.79755760252</c:v>
                </c:pt>
                <c:pt idx="6">
                  <c:v>69062.343236469809</c:v>
                </c:pt>
                <c:pt idx="7">
                  <c:v>85214.818884324559</c:v>
                </c:pt>
                <c:pt idx="8">
                  <c:v>101761.80084376346</c:v>
                </c:pt>
                <c:pt idx="9">
                  <c:v>118426.03358237172</c:v>
                </c:pt>
                <c:pt idx="10">
                  <c:v>134968.5498794977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55.794250830733674</c:v>
                </c:pt>
                <c:pt idx="1">
                  <c:v>264.12399507614356</c:v>
                </c:pt>
                <c:pt idx="2">
                  <c:v>585.59728571151652</c:v>
                </c:pt>
                <c:pt idx="3">
                  <c:v>1000.2202339326049</c:v>
                </c:pt>
                <c:pt idx="4">
                  <c:v>1488.5640338425628</c:v>
                </c:pt>
                <c:pt idx="5">
                  <c:v>2033.2073403478621</c:v>
                </c:pt>
                <c:pt idx="6">
                  <c:v>2618.6262113455468</c:v>
                </c:pt>
                <c:pt idx="7">
                  <c:v>3231.0771379636462</c:v>
                </c:pt>
                <c:pt idx="8">
                  <c:v>3858.4864995210037</c:v>
                </c:pt>
                <c:pt idx="9">
                  <c:v>4490.3416407789182</c:v>
                </c:pt>
                <c:pt idx="10">
                  <c:v>5117.581678507463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74516.325866666666</c:v>
                </c:pt>
                <c:pt idx="2">
                  <c:v>7643.6672000000008</c:v>
                </c:pt>
                <c:pt idx="3">
                  <c:v>80596.858057386664</c:v>
                </c:pt>
                <c:pt idx="4">
                  <c:v>8267.390443520002</c:v>
                </c:pt>
                <c:pt idx="5">
                  <c:v>147540.76163098746</c:v>
                </c:pt>
                <c:pt idx="6">
                  <c:v>212814.10724691147</c:v>
                </c:pt>
                <c:pt idx="7">
                  <c:v>277937.38932055247</c:v>
                </c:pt>
                <c:pt idx="8">
                  <c:v>353417.89182224346</c:v>
                </c:pt>
                <c:pt idx="9">
                  <c:v>439673.53687028564</c:v>
                </c:pt>
                <c:pt idx="10">
                  <c:v>537112.97236540832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13338.569758988</c:v>
                </c:pt>
                <c:pt idx="1">
                  <c:v>26806.504564594339</c:v>
                </c:pt>
                <c:pt idx="2">
                  <c:v>47042.674012772681</c:v>
                </c:pt>
                <c:pt idx="3">
                  <c:v>75214.712251474586</c:v>
                </c:pt>
                <c:pt idx="4">
                  <c:v>111907.01311388727</c:v>
                </c:pt>
                <c:pt idx="5">
                  <c:v>157618.65659537967</c:v>
                </c:pt>
                <c:pt idx="6">
                  <c:v>212814.10724691147</c:v>
                </c:pt>
                <c:pt idx="7">
                  <c:v>277937.38932055247</c:v>
                </c:pt>
                <c:pt idx="8">
                  <c:v>353417.89182224346</c:v>
                </c:pt>
                <c:pt idx="9">
                  <c:v>439673.53687028564</c:v>
                </c:pt>
                <c:pt idx="10">
                  <c:v>537112.97236540832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54272.000533093465</c:v>
                </c:pt>
                <c:pt idx="1">
                  <c:v>76920.872920781752</c:v>
                </c:pt>
                <c:pt idx="2">
                  <c:v>102047.9374707531</c:v>
                </c:pt>
                <c:pt idx="3">
                  <c:v>129977.93239869649</c:v>
                </c:pt>
                <c:pt idx="4">
                  <c:v>160947.49284585539</c:v>
                </c:pt>
                <c:pt idx="5">
                  <c:v>195144.35462036022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71988.02171618276</c:v>
                </c:pt>
                <c:pt idx="1">
                  <c:v>92106.033934858293</c:v>
                </c:pt>
                <c:pt idx="2">
                  <c:v>115334.95335807007</c:v>
                </c:pt>
                <c:pt idx="3">
                  <c:v>141788.61318742266</c:v>
                </c:pt>
                <c:pt idx="4">
                  <c:v>171577.10555570896</c:v>
                </c:pt>
                <c:pt idx="5">
                  <c:v>204807.63890204529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18</xdr:col>
      <xdr:colOff>44400</xdr:colOff>
      <xdr:row>64</xdr:row>
      <xdr:rowOff>58697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30153B3-6F5E-D13A-D5D5-61FE9E79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922" y="10177670"/>
          <a:ext cx="6751905" cy="255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afa.se/globalassets/pm/2023/pm-2023_1-transportsektorns-samhallsekonomiska-kostnader-2022---bilago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5" x14ac:dyDescent="0.25"/>
  <cols>
    <col min="1" max="1" width="21.42578125" bestFit="1" customWidth="1"/>
    <col min="2" max="2" width="18.5703125" hidden="1" customWidth="1"/>
    <col min="3" max="3" width="27" bestFit="1" customWidth="1"/>
    <col min="4" max="4" width="18.5703125" customWidth="1"/>
    <col min="5" max="5" width="18.5703125" hidden="1" customWidth="1"/>
    <col min="6" max="6" width="25.140625" bestFit="1" customWidth="1"/>
    <col min="7" max="7" width="14.42578125" customWidth="1"/>
    <col min="9" max="9" width="13.42578125" bestFit="1" customWidth="1"/>
    <col min="11" max="12" width="17" bestFit="1" customWidth="1"/>
  </cols>
  <sheetData>
    <row r="1" spans="1:13" x14ac:dyDescent="0.25">
      <c r="A1" t="s">
        <v>141</v>
      </c>
    </row>
    <row r="2" spans="1:13" ht="15.75" thickBot="1" x14ac:dyDescent="0.3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25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40" t="s">
        <v>28</v>
      </c>
      <c r="I3" s="10" t="s">
        <v>56</v>
      </c>
      <c r="J3" s="11" t="s">
        <v>57</v>
      </c>
      <c r="K3" s="11" t="s">
        <v>58</v>
      </c>
      <c r="L3" s="11" t="s">
        <v>139</v>
      </c>
    </row>
    <row r="4" spans="1:13" x14ac:dyDescent="0.25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41"/>
      <c r="I4" s="20">
        <v>41778.839583333298</v>
      </c>
      <c r="J4" s="21" t="s">
        <v>59</v>
      </c>
      <c r="K4" s="133">
        <v>1</v>
      </c>
      <c r="L4" s="78" t="s">
        <v>140</v>
      </c>
      <c r="M4" s="9" t="s">
        <v>214</v>
      </c>
    </row>
    <row r="5" spans="1:13" x14ac:dyDescent="0.25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41"/>
      <c r="I5" s="20">
        <v>41865.585416666698</v>
      </c>
      <c r="J5" s="22" t="s">
        <v>59</v>
      </c>
      <c r="K5" s="22">
        <v>1</v>
      </c>
      <c r="L5" s="64"/>
    </row>
    <row r="6" spans="1:13" x14ac:dyDescent="0.25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41"/>
      <c r="I6" s="23">
        <v>41883</v>
      </c>
      <c r="J6" s="21" t="s">
        <v>60</v>
      </c>
      <c r="K6" s="21" t="s">
        <v>61</v>
      </c>
      <c r="L6" s="64"/>
    </row>
    <row r="7" spans="1:13" ht="15.75" thickBot="1" x14ac:dyDescent="0.3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42"/>
      <c r="I7" s="24">
        <v>41913</v>
      </c>
      <c r="J7" s="22" t="s">
        <v>60</v>
      </c>
      <c r="K7" s="22" t="s">
        <v>62</v>
      </c>
      <c r="L7" s="64"/>
    </row>
    <row r="8" spans="1:13" x14ac:dyDescent="0.25">
      <c r="I8" s="20">
        <v>42001.255555555603</v>
      </c>
      <c r="J8" s="21" t="s">
        <v>59</v>
      </c>
      <c r="K8" s="21">
        <v>0</v>
      </c>
      <c r="L8" s="64"/>
    </row>
    <row r="9" spans="1:13" x14ac:dyDescent="0.25">
      <c r="I9" s="25">
        <v>42044.974999999999</v>
      </c>
      <c r="J9" s="26" t="s">
        <v>59</v>
      </c>
      <c r="K9" s="26">
        <v>0</v>
      </c>
      <c r="L9" s="64"/>
    </row>
    <row r="10" spans="1:13" x14ac:dyDescent="0.25">
      <c r="I10" s="25">
        <v>42068.0444444444</v>
      </c>
      <c r="J10" s="27" t="s">
        <v>59</v>
      </c>
      <c r="K10" s="27">
        <v>0</v>
      </c>
      <c r="L10" s="64"/>
    </row>
    <row r="11" spans="1:13" x14ac:dyDescent="0.25">
      <c r="I11" s="25">
        <v>42090.2993055556</v>
      </c>
      <c r="J11" s="26" t="s">
        <v>59</v>
      </c>
      <c r="K11" s="26">
        <v>1</v>
      </c>
      <c r="L11" s="64"/>
    </row>
    <row r="12" spans="1:13" x14ac:dyDescent="0.25">
      <c r="I12" s="28">
        <v>42125</v>
      </c>
      <c r="J12" s="27" t="s">
        <v>60</v>
      </c>
      <c r="K12" s="29" t="s">
        <v>63</v>
      </c>
      <c r="L12" s="64"/>
    </row>
    <row r="13" spans="1:13" x14ac:dyDescent="0.25">
      <c r="I13" s="30">
        <v>42249</v>
      </c>
      <c r="J13" s="26" t="s">
        <v>64</v>
      </c>
      <c r="K13" s="26" t="s">
        <v>65</v>
      </c>
      <c r="L13" s="64"/>
    </row>
    <row r="14" spans="1:13" x14ac:dyDescent="0.25">
      <c r="I14" s="28">
        <v>42249</v>
      </c>
      <c r="J14" s="27" t="s">
        <v>64</v>
      </c>
      <c r="K14" s="27" t="s">
        <v>65</v>
      </c>
      <c r="L14" s="64"/>
    </row>
    <row r="15" spans="1:13" x14ac:dyDescent="0.25">
      <c r="A15" t="s">
        <v>142</v>
      </c>
      <c r="I15" s="30">
        <v>42339</v>
      </c>
      <c r="J15" s="26" t="s">
        <v>64</v>
      </c>
      <c r="K15" s="26" t="s">
        <v>66</v>
      </c>
      <c r="L15" s="78" t="s">
        <v>140</v>
      </c>
    </row>
    <row r="16" spans="1:13" ht="15.75" thickBot="1" x14ac:dyDescent="0.3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4"/>
    </row>
    <row r="17" spans="1:12" x14ac:dyDescent="0.25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2">
        <v>1</v>
      </c>
      <c r="G17" s="140" t="s">
        <v>28</v>
      </c>
      <c r="I17" s="17">
        <v>42438.979861111096</v>
      </c>
      <c r="J17" s="14" t="s">
        <v>59</v>
      </c>
      <c r="K17" s="14">
        <v>0</v>
      </c>
      <c r="L17" s="64"/>
    </row>
    <row r="18" spans="1:12" x14ac:dyDescent="0.25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41"/>
      <c r="I18" s="15">
        <v>42475</v>
      </c>
      <c r="J18" s="13" t="s">
        <v>64</v>
      </c>
      <c r="K18" s="13" t="s">
        <v>66</v>
      </c>
      <c r="L18" s="64"/>
    </row>
    <row r="19" spans="1:12" x14ac:dyDescent="0.25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41"/>
      <c r="I19" s="16">
        <v>42475</v>
      </c>
      <c r="J19" s="14" t="s">
        <v>64</v>
      </c>
      <c r="K19" s="14" t="s">
        <v>66</v>
      </c>
      <c r="L19" s="64"/>
    </row>
    <row r="20" spans="1:12" x14ac:dyDescent="0.25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41"/>
      <c r="I20" s="18">
        <v>42487</v>
      </c>
      <c r="J20" s="13" t="s">
        <v>64</v>
      </c>
      <c r="K20" s="13" t="s">
        <v>65</v>
      </c>
      <c r="L20" s="64"/>
    </row>
    <row r="21" spans="1:12" ht="15.75" thickBot="1" x14ac:dyDescent="0.3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42"/>
      <c r="I21" s="19">
        <v>42491</v>
      </c>
      <c r="J21" s="14" t="s">
        <v>60</v>
      </c>
      <c r="K21" s="14" t="s">
        <v>62</v>
      </c>
      <c r="L21" s="64"/>
    </row>
    <row r="22" spans="1:12" x14ac:dyDescent="0.25">
      <c r="I22" s="31">
        <v>42759.929861111101</v>
      </c>
      <c r="J22" s="32" t="s">
        <v>59</v>
      </c>
      <c r="K22" s="32">
        <v>1</v>
      </c>
      <c r="L22" s="64"/>
    </row>
    <row r="23" spans="1:12" x14ac:dyDescent="0.25">
      <c r="I23" s="31">
        <v>42761.091666666704</v>
      </c>
      <c r="J23" s="33" t="s">
        <v>59</v>
      </c>
      <c r="K23" s="33">
        <v>0</v>
      </c>
      <c r="L23" s="64"/>
    </row>
    <row r="24" spans="1:12" x14ac:dyDescent="0.25">
      <c r="I24" s="31">
        <v>42815.414583333302</v>
      </c>
      <c r="J24" s="32" t="s">
        <v>59</v>
      </c>
      <c r="K24" s="32">
        <v>1</v>
      </c>
      <c r="L24" s="64"/>
    </row>
    <row r="25" spans="1:12" x14ac:dyDescent="0.25">
      <c r="I25" s="31">
        <v>42826.462500000001</v>
      </c>
      <c r="J25" s="33" t="s">
        <v>59</v>
      </c>
      <c r="K25" s="33">
        <v>1</v>
      </c>
      <c r="L25" s="64"/>
    </row>
    <row r="26" spans="1:12" x14ac:dyDescent="0.25">
      <c r="I26" s="34">
        <v>42829</v>
      </c>
      <c r="J26" s="32" t="s">
        <v>64</v>
      </c>
      <c r="K26" s="32" t="s">
        <v>66</v>
      </c>
      <c r="L26" s="78" t="s">
        <v>140</v>
      </c>
    </row>
    <row r="27" spans="1:12" x14ac:dyDescent="0.25">
      <c r="I27" s="35">
        <v>43110.083333333299</v>
      </c>
      <c r="J27" s="36" t="s">
        <v>59</v>
      </c>
      <c r="K27" s="36">
        <v>0</v>
      </c>
      <c r="L27" s="64"/>
    </row>
    <row r="28" spans="1:12" x14ac:dyDescent="0.25">
      <c r="I28" s="35">
        <v>43139.028472222199</v>
      </c>
      <c r="J28" s="37" t="s">
        <v>59</v>
      </c>
      <c r="K28" s="37">
        <v>1</v>
      </c>
      <c r="L28" s="64"/>
    </row>
    <row r="29" spans="1:12" x14ac:dyDescent="0.25">
      <c r="I29" s="35">
        <v>43152.002777777801</v>
      </c>
      <c r="J29" s="36" t="s">
        <v>59</v>
      </c>
      <c r="K29" s="36">
        <v>1</v>
      </c>
      <c r="L29" s="64"/>
    </row>
    <row r="30" spans="1:12" x14ac:dyDescent="0.25">
      <c r="I30" s="38">
        <v>43191</v>
      </c>
      <c r="J30" s="37" t="s">
        <v>60</v>
      </c>
      <c r="K30" s="37" t="s">
        <v>62</v>
      </c>
      <c r="L30" s="64"/>
    </row>
    <row r="31" spans="1:12" x14ac:dyDescent="0.25">
      <c r="I31" s="39">
        <v>43252</v>
      </c>
      <c r="J31" s="36" t="s">
        <v>60</v>
      </c>
      <c r="K31" s="40" t="s">
        <v>63</v>
      </c>
      <c r="L31" s="64"/>
    </row>
    <row r="32" spans="1:12" x14ac:dyDescent="0.25">
      <c r="I32" s="41">
        <v>43343</v>
      </c>
      <c r="J32" s="37" t="s">
        <v>64</v>
      </c>
      <c r="K32" s="37" t="s">
        <v>65</v>
      </c>
      <c r="L32" s="64"/>
    </row>
    <row r="33" spans="9:12" x14ac:dyDescent="0.25">
      <c r="I33" s="41">
        <v>43374</v>
      </c>
      <c r="J33" s="36" t="s">
        <v>60</v>
      </c>
      <c r="K33" s="36" t="s">
        <v>62</v>
      </c>
      <c r="L33" s="64"/>
    </row>
    <row r="34" spans="9:12" hidden="1" x14ac:dyDescent="0.25">
      <c r="I34" s="15">
        <v>43525</v>
      </c>
      <c r="J34" s="13" t="s">
        <v>67</v>
      </c>
      <c r="K34" s="13" t="s">
        <v>68</v>
      </c>
      <c r="L34" s="64"/>
    </row>
    <row r="35" spans="9:12" hidden="1" x14ac:dyDescent="0.25">
      <c r="I35" s="12">
        <v>43525.218055555597</v>
      </c>
      <c r="J35" s="14" t="s">
        <v>59</v>
      </c>
      <c r="K35" s="14">
        <v>0</v>
      </c>
      <c r="L35" s="64"/>
    </row>
    <row r="36" spans="9:12" hidden="1" x14ac:dyDescent="0.25">
      <c r="I36" s="15">
        <v>43556</v>
      </c>
      <c r="J36" s="13" t="s">
        <v>60</v>
      </c>
      <c r="K36" s="13" t="s">
        <v>62</v>
      </c>
      <c r="L36" s="64"/>
    </row>
    <row r="37" spans="9:12" hidden="1" x14ac:dyDescent="0.25">
      <c r="I37" s="15">
        <v>43556</v>
      </c>
      <c r="J37" s="14" t="s">
        <v>60</v>
      </c>
      <c r="K37" s="14" t="s">
        <v>62</v>
      </c>
      <c r="L37" s="64"/>
    </row>
    <row r="38" spans="9:12" hidden="1" x14ac:dyDescent="0.25">
      <c r="I38" s="15">
        <v>43644</v>
      </c>
      <c r="J38" s="13" t="s">
        <v>64</v>
      </c>
      <c r="K38" s="13" t="s">
        <v>65</v>
      </c>
      <c r="L38" s="64"/>
    </row>
    <row r="39" spans="9:12" hidden="1" x14ac:dyDescent="0.25">
      <c r="I39" s="16">
        <v>43755</v>
      </c>
      <c r="J39" s="14" t="s">
        <v>64</v>
      </c>
      <c r="K39" s="14" t="s">
        <v>65</v>
      </c>
      <c r="L39" s="64"/>
    </row>
    <row r="40" spans="9:12" hidden="1" x14ac:dyDescent="0.25">
      <c r="I40" s="42">
        <v>43922</v>
      </c>
      <c r="J40" s="43" t="s">
        <v>60</v>
      </c>
      <c r="K40" s="43" t="s">
        <v>62</v>
      </c>
      <c r="L40" s="64"/>
    </row>
    <row r="41" spans="9:12" hidden="1" x14ac:dyDescent="0.25">
      <c r="I41" s="44">
        <v>44112</v>
      </c>
      <c r="J41" s="45" t="s">
        <v>64</v>
      </c>
      <c r="K41" s="45" t="s">
        <v>69</v>
      </c>
      <c r="L41" s="64"/>
    </row>
    <row r="42" spans="9:12" hidden="1" x14ac:dyDescent="0.25">
      <c r="I42" s="42">
        <v>44132</v>
      </c>
      <c r="J42" s="43" t="s">
        <v>64</v>
      </c>
      <c r="K42" s="43" t="s">
        <v>65</v>
      </c>
      <c r="L42" s="64"/>
    </row>
    <row r="43" spans="9:12" hidden="1" x14ac:dyDescent="0.25">
      <c r="I43" s="44">
        <v>44379</v>
      </c>
      <c r="J43" s="45" t="s">
        <v>64</v>
      </c>
      <c r="K43" s="45" t="s">
        <v>65</v>
      </c>
      <c r="L43" s="64"/>
    </row>
    <row r="44" spans="9:12" hidden="1" x14ac:dyDescent="0.25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B47" zoomScale="115" zoomScaleNormal="115" workbookViewId="0">
      <selection activeCell="I50" sqref="I50"/>
    </sheetView>
  </sheetViews>
  <sheetFormatPr defaultRowHeight="15" x14ac:dyDescent="0.25"/>
  <cols>
    <col min="1" max="1" width="36.7109375" bestFit="1" customWidth="1"/>
    <col min="2" max="2" width="47.28515625" bestFit="1" customWidth="1"/>
    <col min="3" max="3" width="13.5703125" customWidth="1"/>
    <col min="4" max="4" width="12.5703125" bestFit="1" customWidth="1"/>
    <col min="5" max="5" width="16.7109375" bestFit="1" customWidth="1"/>
    <col min="6" max="6" width="27.85546875" bestFit="1" customWidth="1"/>
    <col min="7" max="7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25">
      <c r="A2" s="8" t="s">
        <v>3</v>
      </c>
      <c r="B2" t="s">
        <v>7</v>
      </c>
      <c r="D2">
        <v>0.04</v>
      </c>
      <c r="E2" t="s">
        <v>47</v>
      </c>
    </row>
    <row r="3" spans="1:8" x14ac:dyDescent="0.25">
      <c r="B3" t="s">
        <v>123</v>
      </c>
      <c r="D3">
        <v>0.34210000000000002</v>
      </c>
      <c r="E3" t="s">
        <v>47</v>
      </c>
      <c r="F3" t="s">
        <v>122</v>
      </c>
    </row>
    <row r="4" spans="1:8" ht="45" x14ac:dyDescent="0.25">
      <c r="B4" s="111" t="s">
        <v>191</v>
      </c>
      <c r="C4" s="9"/>
      <c r="D4" s="9">
        <v>0.5</v>
      </c>
    </row>
    <row r="6" spans="1:8" x14ac:dyDescent="0.25">
      <c r="A6" s="8" t="s">
        <v>5</v>
      </c>
      <c r="B6" t="s">
        <v>8</v>
      </c>
      <c r="D6" s="136">
        <v>8</v>
      </c>
      <c r="E6" t="s">
        <v>31</v>
      </c>
      <c r="F6" t="s">
        <v>33</v>
      </c>
    </row>
    <row r="7" spans="1:8" x14ac:dyDescent="0.25">
      <c r="B7" t="s">
        <v>38</v>
      </c>
      <c r="C7" t="s">
        <v>24</v>
      </c>
      <c r="D7" s="136">
        <f>365*11</f>
        <v>4015</v>
      </c>
      <c r="E7" t="s">
        <v>19</v>
      </c>
      <c r="F7" t="s">
        <v>179</v>
      </c>
      <c r="H7" s="49">
        <f>D7/SUM(D7:D8)</f>
        <v>0.20370370370370369</v>
      </c>
    </row>
    <row r="8" spans="1:8" x14ac:dyDescent="0.25">
      <c r="C8" t="s">
        <v>34</v>
      </c>
      <c r="D8" s="136">
        <f>365*43</f>
        <v>15695</v>
      </c>
      <c r="E8" t="s">
        <v>19</v>
      </c>
      <c r="F8" t="s">
        <v>33</v>
      </c>
    </row>
    <row r="9" spans="1:8" x14ac:dyDescent="0.25">
      <c r="C9" t="s">
        <v>35</v>
      </c>
      <c r="D9" s="136">
        <f>D8*0.5</f>
        <v>7847.5</v>
      </c>
      <c r="E9" t="s">
        <v>19</v>
      </c>
      <c r="F9" t="s">
        <v>180</v>
      </c>
      <c r="H9" s="49">
        <f>D9/SUM(D7:D8)</f>
        <v>0.39814814814814814</v>
      </c>
    </row>
    <row r="10" spans="1:8" x14ac:dyDescent="0.25">
      <c r="C10" t="s">
        <v>36</v>
      </c>
      <c r="D10" s="136">
        <f>D8*0.5</f>
        <v>7847.5</v>
      </c>
      <c r="E10" t="s">
        <v>19</v>
      </c>
      <c r="F10" t="s">
        <v>37</v>
      </c>
    </row>
    <row r="11" spans="1:8" x14ac:dyDescent="0.25">
      <c r="B11" t="s">
        <v>39</v>
      </c>
      <c r="D11" s="63">
        <f>D7/365</f>
        <v>11</v>
      </c>
      <c r="E11" t="s">
        <v>40</v>
      </c>
      <c r="F11" t="s">
        <v>41</v>
      </c>
      <c r="G11" t="s">
        <v>42</v>
      </c>
    </row>
    <row r="14" spans="1:8" x14ac:dyDescent="0.25">
      <c r="A14" s="8" t="s">
        <v>6</v>
      </c>
      <c r="B14" s="50" t="s">
        <v>177</v>
      </c>
      <c r="C14" s="50" t="s">
        <v>159</v>
      </c>
      <c r="D14" s="105">
        <v>54422</v>
      </c>
      <c r="E14" s="50" t="s">
        <v>9</v>
      </c>
      <c r="F14" s="50" t="s">
        <v>170</v>
      </c>
      <c r="G14" s="9" t="s">
        <v>197</v>
      </c>
    </row>
    <row r="15" spans="1:8" x14ac:dyDescent="0.25">
      <c r="B15" s="50"/>
      <c r="C15" s="50" t="s">
        <v>158</v>
      </c>
      <c r="D15" s="105">
        <v>36281</v>
      </c>
      <c r="E15" s="50" t="s">
        <v>9</v>
      </c>
      <c r="F15" s="50" t="s">
        <v>170</v>
      </c>
      <c r="G15" s="9" t="s">
        <v>197</v>
      </c>
    </row>
    <row r="16" spans="1:8" x14ac:dyDescent="0.25">
      <c r="B16" s="50"/>
      <c r="C16" s="9" t="s">
        <v>176</v>
      </c>
      <c r="D16" s="117">
        <v>7067</v>
      </c>
      <c r="E16" s="9" t="s">
        <v>9</v>
      </c>
      <c r="F16" s="9" t="s">
        <v>170</v>
      </c>
      <c r="G16" s="9" t="s">
        <v>197</v>
      </c>
    </row>
    <row r="17" spans="1:7" x14ac:dyDescent="0.25">
      <c r="B17" s="50"/>
      <c r="C17" s="115" t="s">
        <v>173</v>
      </c>
      <c r="D17" s="116">
        <f>(D14+D15)/2</f>
        <v>45351.5</v>
      </c>
      <c r="E17" s="115" t="s">
        <v>9</v>
      </c>
      <c r="F17" s="115" t="s">
        <v>86</v>
      </c>
      <c r="G17" s="9"/>
    </row>
    <row r="18" spans="1:7" x14ac:dyDescent="0.25">
      <c r="B18" s="50" t="s">
        <v>181</v>
      </c>
      <c r="C18" s="50" t="s">
        <v>182</v>
      </c>
      <c r="D18" s="107">
        <f>1+0.25</f>
        <v>1.25</v>
      </c>
      <c r="E18" s="50" t="s">
        <v>23</v>
      </c>
      <c r="F18" s="50" t="s">
        <v>160</v>
      </c>
      <c r="G18" s="9"/>
    </row>
    <row r="19" spans="1:7" x14ac:dyDescent="0.25">
      <c r="B19" s="50"/>
      <c r="C19" s="50" t="s">
        <v>183</v>
      </c>
      <c r="D19" s="107">
        <f>3+1</f>
        <v>4</v>
      </c>
      <c r="E19" s="50" t="s">
        <v>23</v>
      </c>
      <c r="F19" s="50" t="s">
        <v>160</v>
      </c>
      <c r="G19" s="9"/>
    </row>
    <row r="20" spans="1:7" x14ac:dyDescent="0.25">
      <c r="B20" s="50" t="s">
        <v>175</v>
      </c>
      <c r="C20" s="50" t="s">
        <v>171</v>
      </c>
      <c r="D20" s="106">
        <v>6141</v>
      </c>
      <c r="E20" s="50" t="s">
        <v>9</v>
      </c>
      <c r="F20" s="50" t="s">
        <v>160</v>
      </c>
      <c r="G20" s="50"/>
    </row>
    <row r="21" spans="1:7" x14ac:dyDescent="0.25">
      <c r="C21" s="50" t="s">
        <v>172</v>
      </c>
      <c r="D21" s="106">
        <v>10746</v>
      </c>
      <c r="E21" s="50" t="s">
        <v>9</v>
      </c>
      <c r="F21" s="50" t="s">
        <v>160</v>
      </c>
      <c r="G21" s="50"/>
    </row>
    <row r="22" spans="1:7" x14ac:dyDescent="0.25">
      <c r="C22" s="9" t="s">
        <v>174</v>
      </c>
      <c r="D22" s="114">
        <v>319922</v>
      </c>
      <c r="E22" s="9" t="s">
        <v>9</v>
      </c>
      <c r="F22" s="9" t="s">
        <v>160</v>
      </c>
      <c r="G22" s="9" t="s">
        <v>197</v>
      </c>
    </row>
    <row r="23" spans="1:7" x14ac:dyDescent="0.25">
      <c r="B23" s="50" t="s">
        <v>162</v>
      </c>
      <c r="C23" s="50"/>
      <c r="D23" s="50">
        <v>6</v>
      </c>
      <c r="E23" s="50" t="s">
        <v>163</v>
      </c>
      <c r="F23" t="s">
        <v>169</v>
      </c>
    </row>
    <row r="24" spans="1:7" x14ac:dyDescent="0.25">
      <c r="B24" s="50" t="s">
        <v>164</v>
      </c>
      <c r="C24" s="50"/>
      <c r="D24" s="50">
        <v>2000</v>
      </c>
      <c r="E24" s="50" t="s">
        <v>165</v>
      </c>
      <c r="F24" t="s">
        <v>169</v>
      </c>
    </row>
    <row r="25" spans="1:7" x14ac:dyDescent="0.25">
      <c r="B25" s="50" t="s">
        <v>166</v>
      </c>
      <c r="C25" s="50"/>
      <c r="D25" s="50">
        <v>6000</v>
      </c>
      <c r="E25" s="50" t="s">
        <v>167</v>
      </c>
      <c r="F25" t="s">
        <v>169</v>
      </c>
    </row>
    <row r="26" spans="1:7" x14ac:dyDescent="0.25">
      <c r="B26" s="7" t="s">
        <v>168</v>
      </c>
      <c r="C26" s="7"/>
      <c r="D26" s="68">
        <f>D25+D23*D24</f>
        <v>18000</v>
      </c>
      <c r="E26" s="7" t="s">
        <v>167</v>
      </c>
      <c r="F26" s="7" t="s">
        <v>86</v>
      </c>
    </row>
    <row r="27" spans="1:7" x14ac:dyDescent="0.25">
      <c r="D27" s="55"/>
    </row>
    <row r="28" spans="1:7" x14ac:dyDescent="0.25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25">
      <c r="C29" t="s">
        <v>25</v>
      </c>
      <c r="D29">
        <v>0.06</v>
      </c>
      <c r="E29" t="s">
        <v>47</v>
      </c>
      <c r="F29" t="s">
        <v>44</v>
      </c>
    </row>
    <row r="30" spans="1:7" x14ac:dyDescent="0.25">
      <c r="C30" t="s">
        <v>26</v>
      </c>
      <c r="D30">
        <v>0.2</v>
      </c>
      <c r="E30" t="s">
        <v>47</v>
      </c>
      <c r="F30" t="s">
        <v>44</v>
      </c>
    </row>
    <row r="32" spans="1:7" x14ac:dyDescent="0.25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25">
      <c r="C33" t="s">
        <v>25</v>
      </c>
      <c r="D33">
        <v>20</v>
      </c>
      <c r="E33" t="s">
        <v>47</v>
      </c>
      <c r="F33" t="s">
        <v>44</v>
      </c>
    </row>
    <row r="34" spans="2:7" x14ac:dyDescent="0.25">
      <c r="C34" t="s">
        <v>26</v>
      </c>
      <c r="D34">
        <v>15</v>
      </c>
      <c r="E34" t="s">
        <v>47</v>
      </c>
      <c r="F34" t="s">
        <v>44</v>
      </c>
    </row>
    <row r="36" spans="2:7" x14ac:dyDescent="0.25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25">
      <c r="C37" t="s">
        <v>25</v>
      </c>
      <c r="D37">
        <v>816</v>
      </c>
      <c r="E37" t="s">
        <v>45</v>
      </c>
      <c r="F37" t="s">
        <v>44</v>
      </c>
    </row>
    <row r="38" spans="2:7" x14ac:dyDescent="0.25">
      <c r="C38" t="s">
        <v>26</v>
      </c>
      <c r="D38">
        <v>1238</v>
      </c>
      <c r="E38" t="s">
        <v>45</v>
      </c>
      <c r="F38" t="s">
        <v>44</v>
      </c>
    </row>
    <row r="40" spans="2:7" x14ac:dyDescent="0.25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25">
      <c r="C41" t="s">
        <v>25</v>
      </c>
      <c r="D41">
        <v>71</v>
      </c>
      <c r="E41" t="s">
        <v>46</v>
      </c>
      <c r="F41" t="s">
        <v>44</v>
      </c>
    </row>
    <row r="42" spans="2:7" x14ac:dyDescent="0.25">
      <c r="C42" t="s">
        <v>26</v>
      </c>
      <c r="D42">
        <v>104</v>
      </c>
      <c r="E42" t="s">
        <v>46</v>
      </c>
      <c r="F42" t="s">
        <v>44</v>
      </c>
    </row>
    <row r="44" spans="2:7" x14ac:dyDescent="0.25">
      <c r="B44" t="s">
        <v>20</v>
      </c>
      <c r="C44" t="s">
        <v>24</v>
      </c>
      <c r="D44">
        <v>100</v>
      </c>
      <c r="E44" t="s">
        <v>22</v>
      </c>
      <c r="G44" t="s">
        <v>48</v>
      </c>
    </row>
    <row r="45" spans="2:7" x14ac:dyDescent="0.25">
      <c r="C45" t="s">
        <v>25</v>
      </c>
      <c r="D45">
        <v>100</v>
      </c>
      <c r="E45" t="s">
        <v>22</v>
      </c>
      <c r="G45" t="s">
        <v>48</v>
      </c>
    </row>
    <row r="46" spans="2:7" x14ac:dyDescent="0.25">
      <c r="C46" t="s">
        <v>26</v>
      </c>
      <c r="D46">
        <v>100</v>
      </c>
      <c r="E46" t="s">
        <v>22</v>
      </c>
      <c r="G46" t="s">
        <v>48</v>
      </c>
    </row>
    <row r="48" spans="2:7" x14ac:dyDescent="0.25">
      <c r="B48" t="s">
        <v>21</v>
      </c>
      <c r="C48" t="s">
        <v>24</v>
      </c>
      <c r="D48" s="63">
        <v>1</v>
      </c>
      <c r="E48" t="s">
        <v>23</v>
      </c>
      <c r="G48" t="s">
        <v>48</v>
      </c>
    </row>
    <row r="49" spans="1:9" x14ac:dyDescent="0.25">
      <c r="C49" t="s">
        <v>25</v>
      </c>
      <c r="D49" s="63">
        <v>1</v>
      </c>
      <c r="E49" t="s">
        <v>23</v>
      </c>
      <c r="G49" t="s">
        <v>48</v>
      </c>
    </row>
    <row r="50" spans="1:9" x14ac:dyDescent="0.25">
      <c r="C50" t="s">
        <v>26</v>
      </c>
      <c r="D50" s="63">
        <f>49/60</f>
        <v>0.81666666666666665</v>
      </c>
      <c r="E50" t="s">
        <v>23</v>
      </c>
      <c r="G50" t="s">
        <v>48</v>
      </c>
      <c r="I50" s="139" t="s">
        <v>222</v>
      </c>
    </row>
    <row r="52" spans="1:9" x14ac:dyDescent="0.25">
      <c r="B52" s="7" t="s">
        <v>90</v>
      </c>
      <c r="C52" s="7" t="s">
        <v>24</v>
      </c>
      <c r="D52" s="68">
        <f>D48*(1+D28)*(1+D32)*D36+D44*D40</f>
        <v>10490.08</v>
      </c>
      <c r="E52" s="7" t="s">
        <v>84</v>
      </c>
      <c r="F52" s="7" t="s">
        <v>86</v>
      </c>
    </row>
    <row r="53" spans="1:9" x14ac:dyDescent="0.25">
      <c r="B53" s="7"/>
      <c r="C53" s="7" t="s">
        <v>25</v>
      </c>
      <c r="D53" s="68">
        <f>D49*(1+D29)*(1+D33)*D37+D45*D41</f>
        <v>25264.16</v>
      </c>
      <c r="E53" s="7" t="s">
        <v>84</v>
      </c>
      <c r="F53" s="7" t="s">
        <v>86</v>
      </c>
    </row>
    <row r="54" spans="1:9" x14ac:dyDescent="0.25">
      <c r="B54" s="7"/>
      <c r="C54" s="7" t="s">
        <v>26</v>
      </c>
      <c r="D54" s="68">
        <f>D50*(1+D30)*(1+D34)*D38+D46*D42</f>
        <v>29811.84</v>
      </c>
      <c r="E54" s="7" t="s">
        <v>84</v>
      </c>
      <c r="F54" s="7" t="s">
        <v>86</v>
      </c>
    </row>
    <row r="57" spans="1:9" x14ac:dyDescent="0.25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104</v>
      </c>
    </row>
    <row r="58" spans="1:9" x14ac:dyDescent="0.25">
      <c r="C58" t="s">
        <v>25</v>
      </c>
      <c r="D58">
        <v>298</v>
      </c>
      <c r="E58" t="s">
        <v>14</v>
      </c>
      <c r="F58" t="s">
        <v>104</v>
      </c>
    </row>
    <row r="59" spans="1:9" x14ac:dyDescent="0.25">
      <c r="C59" t="s">
        <v>26</v>
      </c>
      <c r="D59">
        <v>282</v>
      </c>
      <c r="E59" t="s">
        <v>14</v>
      </c>
      <c r="F59" t="s">
        <v>104</v>
      </c>
    </row>
    <row r="61" spans="1:9" x14ac:dyDescent="0.25">
      <c r="B61" t="s">
        <v>221</v>
      </c>
      <c r="D61" s="138">
        <f>30/60</f>
        <v>0.5</v>
      </c>
      <c r="E61" s="50" t="s">
        <v>100</v>
      </c>
      <c r="F61" s="50" t="s">
        <v>91</v>
      </c>
    </row>
    <row r="62" spans="1:9" x14ac:dyDescent="0.25">
      <c r="B62" t="s">
        <v>99</v>
      </c>
      <c r="D62" s="136">
        <v>0.24</v>
      </c>
      <c r="E62" s="50" t="s">
        <v>101</v>
      </c>
      <c r="F62" s="50" t="s">
        <v>96</v>
      </c>
    </row>
    <row r="63" spans="1:9" x14ac:dyDescent="0.25">
      <c r="C63" s="7" t="s">
        <v>93</v>
      </c>
      <c r="D63" s="57">
        <f>D62*H7</f>
        <v>4.8888888888888885E-2</v>
      </c>
      <c r="E63" s="7"/>
      <c r="F63" s="7" t="s">
        <v>85</v>
      </c>
    </row>
    <row r="64" spans="1:9" x14ac:dyDescent="0.25">
      <c r="C64" s="7" t="s">
        <v>94</v>
      </c>
      <c r="D64" s="57">
        <f>D62*H9</f>
        <v>9.5555555555555546E-2</v>
      </c>
      <c r="E64" s="7"/>
      <c r="F64" s="7" t="s">
        <v>85</v>
      </c>
    </row>
    <row r="65" spans="2:7" x14ac:dyDescent="0.25">
      <c r="C65" s="7" t="s">
        <v>95</v>
      </c>
      <c r="D65" s="57">
        <f>D62*H9</f>
        <v>9.5555555555555546E-2</v>
      </c>
      <c r="E65" s="7"/>
      <c r="F65" s="7" t="s">
        <v>85</v>
      </c>
    </row>
    <row r="67" spans="2:7" x14ac:dyDescent="0.25">
      <c r="B67" t="s">
        <v>49</v>
      </c>
      <c r="C67" t="s">
        <v>24</v>
      </c>
      <c r="D67" s="137">
        <f>866+38</f>
        <v>904</v>
      </c>
      <c r="E67" t="s">
        <v>51</v>
      </c>
      <c r="G67" t="s">
        <v>220</v>
      </c>
    </row>
    <row r="68" spans="2:7" x14ac:dyDescent="0.25">
      <c r="C68" t="s">
        <v>25</v>
      </c>
      <c r="D68" s="137">
        <v>160</v>
      </c>
      <c r="E68" t="s">
        <v>50</v>
      </c>
      <c r="G68" t="s">
        <v>220</v>
      </c>
    </row>
    <row r="69" spans="2:7" x14ac:dyDescent="0.25">
      <c r="C69" t="s">
        <v>26</v>
      </c>
      <c r="D69" s="137">
        <v>103</v>
      </c>
      <c r="E69" t="s">
        <v>50</v>
      </c>
      <c r="G69" t="s">
        <v>220</v>
      </c>
    </row>
    <row r="71" spans="2:7" x14ac:dyDescent="0.25">
      <c r="B71" s="7" t="s">
        <v>97</v>
      </c>
      <c r="C71" s="7" t="s">
        <v>24</v>
      </c>
      <c r="D71" s="67">
        <f>D57*D67*D63</f>
        <v>170.15288888888887</v>
      </c>
      <c r="E71" s="7" t="s">
        <v>98</v>
      </c>
      <c r="F71" s="7" t="s">
        <v>86</v>
      </c>
    </row>
    <row r="72" spans="2:7" x14ac:dyDescent="0.25">
      <c r="B72" s="7"/>
      <c r="C72" s="7" t="s">
        <v>25</v>
      </c>
      <c r="D72" s="67">
        <f>D58*D68*D64</f>
        <v>4556.0888888888885</v>
      </c>
      <c r="E72" s="7" t="s">
        <v>98</v>
      </c>
      <c r="F72" s="7" t="s">
        <v>86</v>
      </c>
    </row>
    <row r="73" spans="2:7" x14ac:dyDescent="0.25">
      <c r="B73" s="7"/>
      <c r="C73" s="7" t="s">
        <v>26</v>
      </c>
      <c r="D73" s="67">
        <f>D59*D69*D65</f>
        <v>2775.5066666666662</v>
      </c>
      <c r="E73" s="7" t="s">
        <v>98</v>
      </c>
      <c r="F73" s="7" t="s">
        <v>86</v>
      </c>
    </row>
  </sheetData>
  <hyperlinks>
    <hyperlink ref="I50" r:id="rId1" xr:uid="{429210B0-4223-4725-9A4A-096C0031C9AE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5" x14ac:dyDescent="0.25"/>
  <cols>
    <col min="1" max="1" width="22.28515625" bestFit="1" customWidth="1"/>
    <col min="2" max="2" width="9.85546875" bestFit="1" customWidth="1"/>
    <col min="8" max="11" width="9.42578125" bestFit="1" customWidth="1"/>
    <col min="26" max="26" width="9.7109375" bestFit="1" customWidth="1"/>
    <col min="27" max="28" width="9.28515625" bestFit="1" customWidth="1"/>
  </cols>
  <sheetData>
    <row r="1" spans="1:28" x14ac:dyDescent="0.25">
      <c r="A1" s="103" t="s">
        <v>121</v>
      </c>
      <c r="B1" s="103">
        <v>9</v>
      </c>
      <c r="C1" s="103">
        <v>18</v>
      </c>
      <c r="D1" s="103">
        <v>27</v>
      </c>
      <c r="E1" s="103">
        <v>36</v>
      </c>
      <c r="F1" s="103">
        <v>45</v>
      </c>
      <c r="G1" s="103">
        <v>54</v>
      </c>
      <c r="H1" s="103">
        <v>63</v>
      </c>
      <c r="I1" s="103">
        <v>72</v>
      </c>
      <c r="J1" s="103">
        <v>81</v>
      </c>
      <c r="K1" s="103">
        <v>90</v>
      </c>
      <c r="L1" s="103">
        <v>99</v>
      </c>
      <c r="M1" s="103">
        <v>108</v>
      </c>
      <c r="N1" s="103">
        <v>117</v>
      </c>
      <c r="O1" s="103">
        <v>126</v>
      </c>
      <c r="P1" s="103">
        <v>135</v>
      </c>
      <c r="T1" s="8" t="s">
        <v>207</v>
      </c>
      <c r="U1" s="8"/>
      <c r="Z1" s="8" t="s">
        <v>201</v>
      </c>
      <c r="AA1" s="8"/>
    </row>
    <row r="2" spans="1:28" x14ac:dyDescent="0.25">
      <c r="A2" s="103">
        <v>0</v>
      </c>
      <c r="B2" s="135">
        <v>2.5540998732300202</v>
      </c>
      <c r="C2" s="135">
        <v>4.5532412282695294</v>
      </c>
      <c r="D2" s="135">
        <v>5.825829979963971</v>
      </c>
      <c r="E2" s="135">
        <v>6.8445588587452626</v>
      </c>
      <c r="F2" s="135">
        <v>7.7178948093058679</v>
      </c>
      <c r="G2" s="135">
        <v>8.4937503581097111</v>
      </c>
      <c r="H2" s="135">
        <v>9.1983945309772537</v>
      </c>
      <c r="I2" s="135">
        <v>9.8480863871211</v>
      </c>
      <c r="J2" s="135">
        <v>10.453718589412283</v>
      </c>
      <c r="K2" s="135">
        <v>11.023010480645382</v>
      </c>
      <c r="L2" s="135">
        <v>11.561667860598746</v>
      </c>
      <c r="M2" s="135">
        <v>12.074048838970143</v>
      </c>
      <c r="N2" s="135">
        <v>12.563570870812995</v>
      </c>
      <c r="O2" s="135">
        <v>13.032972241319101</v>
      </c>
      <c r="P2" s="135">
        <v>13.484486961785677</v>
      </c>
      <c r="T2" t="s">
        <v>200</v>
      </c>
      <c r="U2" t="s">
        <v>201</v>
      </c>
      <c r="V2" t="s">
        <v>202</v>
      </c>
      <c r="W2" t="s">
        <v>203</v>
      </c>
      <c r="Z2" t="s">
        <v>200</v>
      </c>
      <c r="AB2" t="s">
        <v>206</v>
      </c>
    </row>
    <row r="3" spans="1:28" x14ac:dyDescent="0.25">
      <c r="A3" s="103">
        <v>1</v>
      </c>
      <c r="B3" s="135">
        <v>4.569759838581362</v>
      </c>
      <c r="C3" s="135">
        <v>8.146595643499758</v>
      </c>
      <c r="D3" s="135">
        <v>10.423493673007592</v>
      </c>
      <c r="E3" s="135">
        <v>12.246189161720196</v>
      </c>
      <c r="F3" s="135">
        <v>13.808749652909604</v>
      </c>
      <c r="G3" s="135">
        <v>15.196899570078095</v>
      </c>
      <c r="H3" s="135">
        <v>16.457639087514551</v>
      </c>
      <c r="I3" s="135">
        <v>17.62005868698968</v>
      </c>
      <c r="J3" s="135">
        <v>18.703647368853453</v>
      </c>
      <c r="K3" s="135">
        <v>19.722216473473893</v>
      </c>
      <c r="L3" s="135">
        <v>20.685974738162827</v>
      </c>
      <c r="M3" s="135">
        <v>21.602719631953335</v>
      </c>
      <c r="N3" s="135">
        <v>22.478565617720193</v>
      </c>
      <c r="O3" s="135">
        <v>23.318411997102885</v>
      </c>
      <c r="P3" s="135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3">
        <v>0</v>
      </c>
      <c r="AA3" s="131"/>
      <c r="AB3" s="131">
        <v>0</v>
      </c>
    </row>
    <row r="4" spans="1:28" x14ac:dyDescent="0.25">
      <c r="A4" s="103">
        <v>2</v>
      </c>
      <c r="B4" s="135">
        <v>2.3642348421267267</v>
      </c>
      <c r="C4" s="135">
        <v>4.2147653149009159</v>
      </c>
      <c r="D4" s="135">
        <v>5.3927531837345759</v>
      </c>
      <c r="E4" s="135">
        <v>6.3357524513589549</v>
      </c>
      <c r="F4" s="135">
        <v>7.1441669166030408</v>
      </c>
      <c r="G4" s="135">
        <v>7.8623474154022865</v>
      </c>
      <c r="H4" s="135">
        <v>8.5146102036573836</v>
      </c>
      <c r="I4" s="135">
        <v>9.1160056851107925</v>
      </c>
      <c r="J4" s="135">
        <v>9.6766167908777589</v>
      </c>
      <c r="K4" s="135">
        <v>10.203589028220776</v>
      </c>
      <c r="L4" s="135">
        <v>10.702204042849729</v>
      </c>
      <c r="M4" s="135">
        <v>11.176495974111106</v>
      </c>
      <c r="N4" s="135">
        <v>11.629628232485885</v>
      </c>
      <c r="O4" s="135">
        <v>12.064135546285314</v>
      </c>
      <c r="P4" s="135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3">
        <v>1</v>
      </c>
      <c r="AA4" s="131"/>
      <c r="AB4" s="131">
        <v>7.7590972482809287E-2</v>
      </c>
    </row>
    <row r="5" spans="1:28" x14ac:dyDescent="0.25">
      <c r="A5" s="103">
        <v>3</v>
      </c>
      <c r="B5" s="135">
        <v>1.6079507005144258</v>
      </c>
      <c r="C5" s="135">
        <v>2.8665235448871558</v>
      </c>
      <c r="D5" s="135">
        <v>3.6676903262652347</v>
      </c>
      <c r="E5" s="135">
        <v>4.3090379225121627</v>
      </c>
      <c r="F5" s="135">
        <v>4.8588524259334562</v>
      </c>
      <c r="G5" s="135">
        <v>5.3472974888195282</v>
      </c>
      <c r="H5" s="135">
        <v>5.7909109525103162</v>
      </c>
      <c r="I5" s="135">
        <v>6.1999288167506421</v>
      </c>
      <c r="J5" s="135">
        <v>6.5812086304866</v>
      </c>
      <c r="K5" s="135">
        <v>6.9396101577330001</v>
      </c>
      <c r="L5" s="135">
        <v>7.2787255229978314</v>
      </c>
      <c r="M5" s="135">
        <v>7.6012984034626143</v>
      </c>
      <c r="N5" s="135">
        <v>7.9094802808703832</v>
      </c>
      <c r="O5" s="135">
        <v>8.2049950610239222</v>
      </c>
      <c r="P5" s="135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3">
        <v>2</v>
      </c>
      <c r="AA5" s="131"/>
      <c r="AB5" s="131">
        <v>0.20837998508614841</v>
      </c>
    </row>
    <row r="6" spans="1:28" x14ac:dyDescent="0.25">
      <c r="A6" s="103">
        <v>4</v>
      </c>
      <c r="B6" s="135">
        <v>1.2231728988325166</v>
      </c>
      <c r="C6" s="135">
        <v>2.1805730193404189</v>
      </c>
      <c r="D6" s="135">
        <v>2.7900229820246141</v>
      </c>
      <c r="E6" s="135">
        <v>3.2778980133981799</v>
      </c>
      <c r="F6" s="135">
        <v>3.6961435477636471</v>
      </c>
      <c r="G6" s="135">
        <v>4.0677051654796941</v>
      </c>
      <c r="H6" s="135">
        <v>4.4051632518315955</v>
      </c>
      <c r="I6" s="135">
        <v>4.7163043623874401</v>
      </c>
      <c r="J6" s="135">
        <v>5.006345055105534</v>
      </c>
      <c r="K6" s="135">
        <v>5.2789821669819865</v>
      </c>
      <c r="L6" s="135">
        <v>5.5369482378552632</v>
      </c>
      <c r="M6" s="135">
        <v>5.7823303911492943</v>
      </c>
      <c r="N6" s="135">
        <v>6.0167652654497843</v>
      </c>
      <c r="O6" s="135">
        <v>6.2415642410481169</v>
      </c>
      <c r="P6" s="135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3">
        <v>3</v>
      </c>
      <c r="AA6" s="131"/>
      <c r="AB6" s="131">
        <v>0.37139078702354444</v>
      </c>
    </row>
    <row r="7" spans="1:28" x14ac:dyDescent="0.25">
      <c r="A7" s="103">
        <v>5</v>
      </c>
      <c r="B7" s="135">
        <v>0.9893526919053095</v>
      </c>
      <c r="C7" s="135">
        <v>1.7637373985637408</v>
      </c>
      <c r="D7" s="135">
        <v>2.2566856659253762</v>
      </c>
      <c r="E7" s="135">
        <v>2.6512991143295466</v>
      </c>
      <c r="F7" s="135">
        <v>2.9895933535959687</v>
      </c>
      <c r="G7" s="135">
        <v>3.290127715538528</v>
      </c>
      <c r="H7" s="135">
        <v>3.563077734670026</v>
      </c>
      <c r="I7" s="135">
        <v>3.814741498300382</v>
      </c>
      <c r="J7" s="135">
        <v>4.0493383736698476</v>
      </c>
      <c r="K7" s="135">
        <v>4.2698585150216601</v>
      </c>
      <c r="L7" s="135">
        <v>4.4785121132842747</v>
      </c>
      <c r="M7" s="135">
        <v>4.6769873199690153</v>
      </c>
      <c r="N7" s="135">
        <v>4.8666079158692881</v>
      </c>
      <c r="O7" s="135">
        <v>5.0484345994542963</v>
      </c>
      <c r="P7" s="135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3">
        <v>4</v>
      </c>
      <c r="AA7" s="131"/>
      <c r="AB7" s="131">
        <v>0.55962977128716707</v>
      </c>
    </row>
    <row r="8" spans="1:28" x14ac:dyDescent="0.25">
      <c r="A8" s="103">
        <v>6</v>
      </c>
      <c r="B8" s="135">
        <v>0.83189778125373892</v>
      </c>
      <c r="C8" s="135">
        <v>1.4830396082046009</v>
      </c>
      <c r="D8" s="135">
        <v>1.8975354429521429</v>
      </c>
      <c r="E8" s="135">
        <v>2.2293463884988869</v>
      </c>
      <c r="F8" s="135">
        <v>2.5138012945796309</v>
      </c>
      <c r="G8" s="135">
        <v>2.7665057860477287</v>
      </c>
      <c r="H8" s="135">
        <v>2.9960159669634656</v>
      </c>
      <c r="I8" s="135">
        <v>3.2076275876716167</v>
      </c>
      <c r="J8" s="135">
        <v>3.4048885055482145</v>
      </c>
      <c r="K8" s="135">
        <v>3.590312993512196</v>
      </c>
      <c r="L8" s="135">
        <v>3.7657594918797308</v>
      </c>
      <c r="M8" s="135">
        <v>3.9326474838221657</v>
      </c>
      <c r="N8" s="135">
        <v>4.0920900711826462</v>
      </c>
      <c r="O8" s="135">
        <v>4.2449791428804104</v>
      </c>
      <c r="P8" s="135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3">
        <v>5</v>
      </c>
      <c r="AA8" s="131"/>
      <c r="AB8" s="131">
        <v>0.76917008950649401</v>
      </c>
    </row>
    <row r="9" spans="1:28" x14ac:dyDescent="0.25">
      <c r="A9" s="103">
        <v>7</v>
      </c>
      <c r="B9" s="135">
        <v>0.7184898552769301</v>
      </c>
      <c r="C9" s="135">
        <v>1.2808651945951919</v>
      </c>
      <c r="D9" s="135">
        <v>1.6388551532555291</v>
      </c>
      <c r="E9" s="135">
        <v>1.9254321866572623</v>
      </c>
      <c r="F9" s="135">
        <v>2.1711089619874633</v>
      </c>
      <c r="G9" s="135">
        <v>2.3893636774034723</v>
      </c>
      <c r="H9" s="135">
        <v>2.5875860316237347</v>
      </c>
      <c r="I9" s="135">
        <v>2.7703498352588127</v>
      </c>
      <c r="J9" s="135">
        <v>2.9407192863268889</v>
      </c>
      <c r="K9" s="135">
        <v>3.1008659011204323</v>
      </c>
      <c r="L9" s="135">
        <v>3.2523947692837218</v>
      </c>
      <c r="M9" s="135">
        <v>3.3965318638645741</v>
      </c>
      <c r="N9" s="135">
        <v>3.5342385438186561</v>
      </c>
      <c r="O9" s="135">
        <v>3.6662851118861859</v>
      </c>
      <c r="P9" s="135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3">
        <v>6</v>
      </c>
      <c r="AA9" s="131"/>
      <c r="AB9" s="131">
        <v>0.99741508818239577</v>
      </c>
    </row>
    <row r="10" spans="1:28" x14ac:dyDescent="0.25">
      <c r="A10" s="103">
        <v>8</v>
      </c>
      <c r="B10" s="135">
        <v>0.63282712604492919</v>
      </c>
      <c r="C10" s="135">
        <v>1.1281526579581764</v>
      </c>
      <c r="D10" s="135">
        <v>1.443460877034765</v>
      </c>
      <c r="E10" s="135">
        <v>1.6958704540192588</v>
      </c>
      <c r="F10" s="135">
        <v>1.9122561503883091</v>
      </c>
      <c r="G10" s="135">
        <v>2.1044892115624743</v>
      </c>
      <c r="H10" s="135">
        <v>2.279078291446865</v>
      </c>
      <c r="I10" s="135">
        <v>2.4400518831405833</v>
      </c>
      <c r="J10" s="135">
        <v>2.590108852342615</v>
      </c>
      <c r="K10" s="135">
        <v>2.7311618139694112</v>
      </c>
      <c r="L10" s="135">
        <v>2.8646244891183308</v>
      </c>
      <c r="M10" s="135">
        <v>2.9915766828760439</v>
      </c>
      <c r="N10" s="135">
        <v>3.1128651351381009</v>
      </c>
      <c r="O10" s="135">
        <v>3.22916830846831</v>
      </c>
      <c r="P10" s="135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3">
        <v>7</v>
      </c>
      <c r="AA10" s="131"/>
      <c r="AB10" s="131">
        <v>1.2424881265635048</v>
      </c>
    </row>
    <row r="11" spans="1:28" x14ac:dyDescent="0.25">
      <c r="A11" s="103">
        <v>9</v>
      </c>
      <c r="B11" s="135">
        <v>0.56578585015694671</v>
      </c>
      <c r="C11" s="135">
        <v>1.0086369316671311</v>
      </c>
      <c r="D11" s="135">
        <v>1.2905416121865536</v>
      </c>
      <c r="E11" s="135">
        <v>1.5162110900334755</v>
      </c>
      <c r="F11" s="135">
        <v>1.7096730327082819</v>
      </c>
      <c r="G11" s="135">
        <v>1.8815410539551678</v>
      </c>
      <c r="H11" s="135">
        <v>2.0376342853055212</v>
      </c>
      <c r="I11" s="135">
        <v>2.1815544440358572</v>
      </c>
      <c r="J11" s="135">
        <v>2.3157144798461999</v>
      </c>
      <c r="K11" s="135">
        <v>2.4418243865278981</v>
      </c>
      <c r="L11" s="135">
        <v>2.5611481165255121</v>
      </c>
      <c r="M11" s="135">
        <v>2.6746510811082871</v>
      </c>
      <c r="N11" s="135">
        <v>2.7830903171223902</v>
      </c>
      <c r="O11" s="135">
        <v>2.8870724112684378</v>
      </c>
      <c r="P11" s="135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3">
        <v>8</v>
      </c>
      <c r="AA11" s="131"/>
      <c r="AB11" s="131">
        <v>1.502953754322661</v>
      </c>
    </row>
    <row r="12" spans="1:28" x14ac:dyDescent="0.25">
      <c r="A12" s="103">
        <v>10</v>
      </c>
      <c r="B12" s="135">
        <v>0.51185668130877937</v>
      </c>
      <c r="C12" s="135">
        <v>0.91249640185486169</v>
      </c>
      <c r="D12" s="135">
        <v>1.1675306947345019</v>
      </c>
      <c r="E12" s="135">
        <v>1.3716899715551736</v>
      </c>
      <c r="F12" s="135">
        <v>1.5467116478830736</v>
      </c>
      <c r="G12" s="135">
        <v>1.7021976766590416</v>
      </c>
      <c r="H12" s="135">
        <v>1.843412525619283</v>
      </c>
      <c r="I12" s="135">
        <v>1.9736146061426965</v>
      </c>
      <c r="J12" s="135">
        <v>2.0949868721247835</v>
      </c>
      <c r="K12" s="135">
        <v>2.2090763253982217</v>
      </c>
      <c r="L12" s="135">
        <v>2.3170264418972817</v>
      </c>
      <c r="M12" s="135">
        <v>2.4197106125140131</v>
      </c>
      <c r="N12" s="135">
        <v>2.5178137154007985</v>
      </c>
      <c r="O12" s="135">
        <v>2.611884519063306</v>
      </c>
      <c r="P12" s="135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3">
        <v>9</v>
      </c>
      <c r="AA12" s="131"/>
      <c r="AB12" s="131">
        <v>1.7776696472843811</v>
      </c>
    </row>
    <row r="13" spans="1:28" x14ac:dyDescent="0.25">
      <c r="A13" s="103">
        <v>11</v>
      </c>
      <c r="B13" s="135">
        <v>0.46751385733041634</v>
      </c>
      <c r="C13" s="135">
        <v>0.83344562689012003</v>
      </c>
      <c r="D13" s="135">
        <v>1.0663859603264809</v>
      </c>
      <c r="E13" s="135">
        <v>1.2528586479002142</v>
      </c>
      <c r="F13" s="135">
        <v>1.4127179640026659</v>
      </c>
      <c r="G13" s="135">
        <v>1.5547340316413134</v>
      </c>
      <c r="H13" s="135">
        <v>1.683715250721872</v>
      </c>
      <c r="I13" s="135">
        <v>1.8026377521187502</v>
      </c>
      <c r="J13" s="135">
        <v>1.9134953775328238</v>
      </c>
      <c r="K13" s="135">
        <v>2.0177011099737889</v>
      </c>
      <c r="L13" s="135">
        <v>2.1162993645373511</v>
      </c>
      <c r="M13" s="135">
        <v>2.2100878691028392</v>
      </c>
      <c r="N13" s="135">
        <v>2.2996921699188633</v>
      </c>
      <c r="O13" s="135">
        <v>2.3856134949467602</v>
      </c>
      <c r="P13" s="135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3">
        <v>10</v>
      </c>
      <c r="AA13" s="131"/>
      <c r="AB13" s="131">
        <v>2.0656997412371085</v>
      </c>
    </row>
    <row r="14" spans="1:28" x14ac:dyDescent="0.25">
      <c r="A14" s="103">
        <v>12</v>
      </c>
      <c r="B14" s="135">
        <v>0.43039498551385152</v>
      </c>
      <c r="C14" s="135">
        <v>0.76727312546467785</v>
      </c>
      <c r="D14" s="135">
        <v>0.98171885763487476</v>
      </c>
      <c r="E14" s="135">
        <v>1.1533863032274114</v>
      </c>
      <c r="F14" s="135">
        <v>1.3005533806506215</v>
      </c>
      <c r="G14" s="135">
        <v>1.4312938975693985</v>
      </c>
      <c r="H14" s="135">
        <v>1.5500344847141792</v>
      </c>
      <c r="I14" s="135">
        <v>1.6595149791710684</v>
      </c>
      <c r="J14" s="135">
        <v>1.7615709189813593</v>
      </c>
      <c r="K14" s="135">
        <v>1.857503101527751</v>
      </c>
      <c r="L14" s="135">
        <v>1.948273019208683</v>
      </c>
      <c r="M14" s="135">
        <v>2.0346150632591513</v>
      </c>
      <c r="N14" s="135">
        <v>2.1171051138683588</v>
      </c>
      <c r="O14" s="135">
        <v>2.1962046033506049</v>
      </c>
      <c r="P14" s="135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3">
        <v>11</v>
      </c>
      <c r="AA14" s="131"/>
      <c r="AB14" s="131">
        <v>2.3662594859400139</v>
      </c>
    </row>
    <row r="15" spans="1:28" x14ac:dyDescent="0.25">
      <c r="B15" s="102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3">
        <v>12</v>
      </c>
      <c r="AA15" s="131"/>
      <c r="AB15" s="131">
        <v>2.6786794204209206</v>
      </c>
    </row>
    <row r="16" spans="1:28" x14ac:dyDescent="0.25">
      <c r="A16" s="109" t="s">
        <v>189</v>
      </c>
      <c r="B16" s="110">
        <v>2</v>
      </c>
      <c r="C16" s="110">
        <v>3</v>
      </c>
      <c r="D16" s="110">
        <v>4</v>
      </c>
      <c r="E16" s="110">
        <v>5</v>
      </c>
      <c r="F16" s="110">
        <v>6</v>
      </c>
      <c r="G16" s="110">
        <v>7</v>
      </c>
      <c r="H16" s="110">
        <v>8</v>
      </c>
      <c r="I16" s="110">
        <v>9</v>
      </c>
      <c r="J16" s="110">
        <v>10</v>
      </c>
      <c r="K16" s="110">
        <v>11</v>
      </c>
      <c r="L16" s="110">
        <v>12</v>
      </c>
      <c r="M16" s="110">
        <v>13</v>
      </c>
      <c r="N16" s="110">
        <v>14</v>
      </c>
      <c r="O16" s="110">
        <v>15</v>
      </c>
      <c r="P16" s="110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3">
        <v>13</v>
      </c>
      <c r="AA16" s="131"/>
      <c r="AB16" s="131">
        <v>3.0023798840919413</v>
      </c>
    </row>
    <row r="17" spans="1:28" x14ac:dyDescent="0.25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3">
        <v>14</v>
      </c>
      <c r="AA17" s="131"/>
      <c r="AB17" s="131">
        <v>3.3368528450958954</v>
      </c>
    </row>
    <row r="18" spans="1:28" x14ac:dyDescent="0.25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3">
        <v>15</v>
      </c>
      <c r="AA18" s="131"/>
      <c r="AB18" s="131">
        <v>3.6816484670310974</v>
      </c>
    </row>
    <row r="19" spans="1:28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.75" thickBot="1" x14ac:dyDescent="0.3">
      <c r="A20" s="130" t="s">
        <v>204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25">
      <c r="A21">
        <v>0</v>
      </c>
      <c r="B21" s="119">
        <f t="shared" ref="B21:P21" si="0">B53*365</f>
        <v>2.5540998732300202</v>
      </c>
      <c r="C21" s="120">
        <f t="shared" si="0"/>
        <v>7.1073411014995491</v>
      </c>
      <c r="D21" s="120">
        <f t="shared" si="0"/>
        <v>12.93317108146352</v>
      </c>
      <c r="E21" s="120">
        <f t="shared" si="0"/>
        <v>19.777729940208783</v>
      </c>
      <c r="F21" s="120">
        <f t="shared" si="0"/>
        <v>27.495624749514651</v>
      </c>
      <c r="G21" s="120">
        <f t="shared" si="0"/>
        <v>35.989375107624362</v>
      </c>
      <c r="H21" s="120">
        <f t="shared" si="0"/>
        <v>45.187769638601615</v>
      </c>
      <c r="I21" s="120">
        <f t="shared" si="0"/>
        <v>55.035856025722715</v>
      </c>
      <c r="J21" s="120">
        <f t="shared" si="0"/>
        <v>65.489574615134998</v>
      </c>
      <c r="K21" s="120">
        <f t="shared" si="0"/>
        <v>76.512585095780381</v>
      </c>
      <c r="L21" s="120">
        <f t="shared" si="0"/>
        <v>88.074252956379127</v>
      </c>
      <c r="M21" s="120">
        <f t="shared" si="0"/>
        <v>100.14830179534927</v>
      </c>
      <c r="N21" s="120">
        <f t="shared" si="0"/>
        <v>112.71187266616226</v>
      </c>
      <c r="O21" s="120">
        <f t="shared" si="0"/>
        <v>125.74484490748137</v>
      </c>
      <c r="P21" s="121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208</v>
      </c>
    </row>
    <row r="22" spans="1:28" x14ac:dyDescent="0.25">
      <c r="A22">
        <v>1</v>
      </c>
      <c r="B22" s="122">
        <f t="shared" ref="B22:P22" si="1">B54*365</f>
        <v>4.569759838581362</v>
      </c>
      <c r="C22" s="123">
        <f t="shared" si="1"/>
        <v>12.71635548208112</v>
      </c>
      <c r="D22" s="123">
        <f t="shared" si="1"/>
        <v>23.139849155088712</v>
      </c>
      <c r="E22" s="123">
        <f t="shared" si="1"/>
        <v>35.386038316808907</v>
      </c>
      <c r="F22" s="123">
        <f t="shared" si="1"/>
        <v>49.194787969718512</v>
      </c>
      <c r="G22" s="123">
        <f t="shared" si="1"/>
        <v>64.391687539796607</v>
      </c>
      <c r="H22" s="123">
        <f t="shared" si="1"/>
        <v>80.849326627311157</v>
      </c>
      <c r="I22" s="123">
        <f t="shared" si="1"/>
        <v>98.469385314300837</v>
      </c>
      <c r="J22" s="123">
        <f t="shared" si="1"/>
        <v>117.17303268315429</v>
      </c>
      <c r="K22" s="123">
        <f t="shared" si="1"/>
        <v>136.89524915662818</v>
      </c>
      <c r="L22" s="123">
        <f t="shared" si="1"/>
        <v>157.58122389479101</v>
      </c>
      <c r="M22" s="123">
        <f t="shared" si="1"/>
        <v>179.18394352674434</v>
      </c>
      <c r="N22" s="123">
        <f t="shared" si="1"/>
        <v>201.66250914446454</v>
      </c>
      <c r="O22" s="123">
        <f t="shared" si="1"/>
        <v>224.98092114156742</v>
      </c>
      <c r="P22" s="124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200</v>
      </c>
      <c r="AA22" t="s">
        <v>209</v>
      </c>
      <c r="AB22" t="s">
        <v>210</v>
      </c>
    </row>
    <row r="23" spans="1:28" x14ac:dyDescent="0.25">
      <c r="A23">
        <v>2</v>
      </c>
      <c r="B23" s="122">
        <f t="shared" ref="B23:P23" si="2">B55*365</f>
        <v>2.3642348421267267</v>
      </c>
      <c r="C23" s="123">
        <f t="shared" si="2"/>
        <v>6.5790001570276422</v>
      </c>
      <c r="D23" s="123">
        <f t="shared" si="2"/>
        <v>11.971753340762218</v>
      </c>
      <c r="E23" s="123">
        <f t="shared" si="2"/>
        <v>18.307505792121173</v>
      </c>
      <c r="F23" s="123">
        <f t="shared" si="2"/>
        <v>25.451672708724214</v>
      </c>
      <c r="G23" s="123">
        <f t="shared" si="2"/>
        <v>33.3140201241265</v>
      </c>
      <c r="H23" s="123">
        <f t="shared" si="2"/>
        <v>41.828630327783884</v>
      </c>
      <c r="I23" s="123">
        <f t="shared" si="2"/>
        <v>50.944636012894676</v>
      </c>
      <c r="J23" s="123">
        <f t="shared" si="2"/>
        <v>60.621252803772435</v>
      </c>
      <c r="K23" s="123">
        <f t="shared" si="2"/>
        <v>70.824841831993211</v>
      </c>
      <c r="L23" s="123">
        <f t="shared" si="2"/>
        <v>81.527045874842941</v>
      </c>
      <c r="M23" s="123">
        <f t="shared" si="2"/>
        <v>92.703541848954046</v>
      </c>
      <c r="N23" s="123">
        <f t="shared" si="2"/>
        <v>104.33317008143993</v>
      </c>
      <c r="O23" s="123">
        <f t="shared" si="2"/>
        <v>116.39730562772525</v>
      </c>
      <c r="P23" s="124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3">
        <v>0</v>
      </c>
      <c r="AA23" s="131">
        <f>AB3</f>
        <v>0</v>
      </c>
      <c r="AB23">
        <v>0</v>
      </c>
    </row>
    <row r="24" spans="1:28" x14ac:dyDescent="0.25">
      <c r="A24">
        <v>3</v>
      </c>
      <c r="B24" s="122">
        <f t="shared" ref="B24:P24" si="3">B56*365</f>
        <v>1.6079507005144258</v>
      </c>
      <c r="C24" s="123">
        <f t="shared" si="3"/>
        <v>4.4744742454015816</v>
      </c>
      <c r="D24" s="123">
        <f t="shared" si="3"/>
        <v>8.1421645716668163</v>
      </c>
      <c r="E24" s="123">
        <f t="shared" si="3"/>
        <v>12.451202494178979</v>
      </c>
      <c r="F24" s="123">
        <f t="shared" si="3"/>
        <v>17.310054920112435</v>
      </c>
      <c r="G24" s="123">
        <f t="shared" si="3"/>
        <v>22.657352408931963</v>
      </c>
      <c r="H24" s="123">
        <f t="shared" si="3"/>
        <v>28.44826336144228</v>
      </c>
      <c r="I24" s="123">
        <f t="shared" si="3"/>
        <v>34.648192178192922</v>
      </c>
      <c r="J24" s="123">
        <f t="shared" si="3"/>
        <v>41.229400808679522</v>
      </c>
      <c r="K24" s="123">
        <f t="shared" si="3"/>
        <v>48.169010966412522</v>
      </c>
      <c r="L24" s="123">
        <f t="shared" si="3"/>
        <v>55.447736489410353</v>
      </c>
      <c r="M24" s="123">
        <f t="shared" si="3"/>
        <v>63.049034892872967</v>
      </c>
      <c r="N24" s="123">
        <f t="shared" si="3"/>
        <v>70.958515173743351</v>
      </c>
      <c r="O24" s="123">
        <f t="shared" si="3"/>
        <v>79.163510234767273</v>
      </c>
      <c r="P24" s="124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3">
        <v>1</v>
      </c>
      <c r="AA24" s="131">
        <f>AB4-AB3</f>
        <v>7.7590972482809287E-2</v>
      </c>
      <c r="AB24">
        <v>1</v>
      </c>
    </row>
    <row r="25" spans="1:28" x14ac:dyDescent="0.25">
      <c r="A25">
        <v>4</v>
      </c>
      <c r="B25" s="122">
        <f t="shared" ref="B25:P25" si="4">B57*365</f>
        <v>1.2231728988325166</v>
      </c>
      <c r="C25" s="123">
        <f t="shared" si="4"/>
        <v>3.4037459181729357</v>
      </c>
      <c r="D25" s="123">
        <f t="shared" si="4"/>
        <v>6.1937689001975498</v>
      </c>
      <c r="E25" s="123">
        <f t="shared" si="4"/>
        <v>9.4716669135957297</v>
      </c>
      <c r="F25" s="123">
        <f t="shared" si="4"/>
        <v>13.167810461359377</v>
      </c>
      <c r="G25" s="123">
        <f t="shared" si="4"/>
        <v>17.235515626839071</v>
      </c>
      <c r="H25" s="123">
        <f t="shared" si="4"/>
        <v>21.640678878670666</v>
      </c>
      <c r="I25" s="123">
        <f t="shared" si="4"/>
        <v>26.356983241058106</v>
      </c>
      <c r="J25" s="123">
        <f t="shared" si="4"/>
        <v>31.36332829616364</v>
      </c>
      <c r="K25" s="123">
        <f t="shared" si="4"/>
        <v>36.642310463145627</v>
      </c>
      <c r="L25" s="123">
        <f t="shared" si="4"/>
        <v>42.17925870100089</v>
      </c>
      <c r="M25" s="123">
        <f t="shared" si="4"/>
        <v>47.961589092150184</v>
      </c>
      <c r="N25" s="123">
        <f t="shared" si="4"/>
        <v>53.978354357599969</v>
      </c>
      <c r="O25" s="123">
        <f t="shared" si="4"/>
        <v>60.219918598648086</v>
      </c>
      <c r="P25" s="124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3">
        <v>2</v>
      </c>
      <c r="AA25" s="131">
        <f>AB5-AB4</f>
        <v>0.13078901260333914</v>
      </c>
      <c r="AB25">
        <v>0</v>
      </c>
    </row>
    <row r="26" spans="1:28" x14ac:dyDescent="0.25">
      <c r="A26">
        <v>5</v>
      </c>
      <c r="B26" s="122">
        <f t="shared" ref="B26:P26" si="5">B58*365</f>
        <v>0.9893526919053095</v>
      </c>
      <c r="C26" s="123">
        <f t="shared" si="5"/>
        <v>2.7530900904690503</v>
      </c>
      <c r="D26" s="123">
        <f t="shared" si="5"/>
        <v>5.0097757563944265</v>
      </c>
      <c r="E26" s="123">
        <f t="shared" si="5"/>
        <v>7.6610748707239731</v>
      </c>
      <c r="F26" s="123">
        <f t="shared" si="5"/>
        <v>10.650668224319942</v>
      </c>
      <c r="G26" s="123">
        <f t="shared" si="5"/>
        <v>13.94079593985847</v>
      </c>
      <c r="H26" s="123">
        <f t="shared" si="5"/>
        <v>17.503873674528496</v>
      </c>
      <c r="I26" s="123">
        <f t="shared" si="5"/>
        <v>21.318615172828878</v>
      </c>
      <c r="J26" s="123">
        <f t="shared" si="5"/>
        <v>25.367953546498725</v>
      </c>
      <c r="K26" s="123">
        <f t="shared" si="5"/>
        <v>29.637812061520385</v>
      </c>
      <c r="L26" s="123">
        <f t="shared" si="5"/>
        <v>34.11632417480466</v>
      </c>
      <c r="M26" s="123">
        <f t="shared" si="5"/>
        <v>38.793311494773675</v>
      </c>
      <c r="N26" s="123">
        <f t="shared" si="5"/>
        <v>43.659919410642964</v>
      </c>
      <c r="O26" s="123">
        <f t="shared" si="5"/>
        <v>48.70835401009726</v>
      </c>
      <c r="P26" s="124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3">
        <v>3</v>
      </c>
      <c r="AA26" s="131">
        <f t="shared" ref="AA26:AA38" si="6">AB6-AB5</f>
        <v>0.16301080193739603</v>
      </c>
      <c r="AB26">
        <v>1</v>
      </c>
    </row>
    <row r="27" spans="1:28" x14ac:dyDescent="0.25">
      <c r="A27">
        <v>6</v>
      </c>
      <c r="B27" s="122">
        <f t="shared" ref="B27:P27" si="7">B59*365</f>
        <v>0.83189778125373892</v>
      </c>
      <c r="C27" s="123">
        <f t="shared" si="7"/>
        <v>2.3149373894583398</v>
      </c>
      <c r="D27" s="123">
        <f t="shared" si="7"/>
        <v>4.2124728324104828</v>
      </c>
      <c r="E27" s="123">
        <f t="shared" si="7"/>
        <v>6.4418192209093696</v>
      </c>
      <c r="F27" s="123">
        <f t="shared" si="7"/>
        <v>8.9556205154890005</v>
      </c>
      <c r="G27" s="123">
        <f t="shared" si="7"/>
        <v>11.722126301536729</v>
      </c>
      <c r="H27" s="123">
        <f t="shared" si="7"/>
        <v>14.718142268500195</v>
      </c>
      <c r="I27" s="123">
        <f t="shared" si="7"/>
        <v>17.925769856171812</v>
      </c>
      <c r="J27" s="123">
        <f>J59*365</f>
        <v>21.330658361720026</v>
      </c>
      <c r="K27" s="123">
        <f t="shared" si="7"/>
        <v>24.920971355232222</v>
      </c>
      <c r="L27" s="123">
        <f t="shared" si="7"/>
        <v>28.686730847111953</v>
      </c>
      <c r="M27" s="123">
        <f t="shared" si="7"/>
        <v>32.619378330934119</v>
      </c>
      <c r="N27" s="123">
        <f t="shared" si="7"/>
        <v>36.711468402116765</v>
      </c>
      <c r="O27" s="123">
        <f t="shared" si="7"/>
        <v>40.956447544997175</v>
      </c>
      <c r="P27" s="124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3">
        <v>4</v>
      </c>
      <c r="AA27" s="131">
        <f t="shared" si="6"/>
        <v>0.18823898426362262</v>
      </c>
    </row>
    <row r="28" spans="1:28" x14ac:dyDescent="0.25">
      <c r="A28">
        <v>7</v>
      </c>
      <c r="B28" s="122">
        <f t="shared" ref="B28:P28" si="8">B60*365</f>
        <v>0.7184898552769301</v>
      </c>
      <c r="C28" s="123">
        <f t="shared" si="8"/>
        <v>1.999355049872122</v>
      </c>
      <c r="D28" s="123">
        <f t="shared" si="8"/>
        <v>3.6382102031276511</v>
      </c>
      <c r="E28" s="123">
        <f t="shared" si="8"/>
        <v>5.5636423897849134</v>
      </c>
      <c r="F28" s="123">
        <f t="shared" si="8"/>
        <v>7.7347513517723767</v>
      </c>
      <c r="G28" s="123">
        <f t="shared" si="8"/>
        <v>10.124115029175849</v>
      </c>
      <c r="H28" s="123">
        <f t="shared" si="8"/>
        <v>12.711701060799584</v>
      </c>
      <c r="I28" s="123">
        <f t="shared" si="8"/>
        <v>15.482050896058396</v>
      </c>
      <c r="J28" s="123">
        <f t="shared" si="8"/>
        <v>18.422770182385285</v>
      </c>
      <c r="K28" s="123">
        <f t="shared" si="8"/>
        <v>21.523636083505718</v>
      </c>
      <c r="L28" s="123">
        <f t="shared" si="8"/>
        <v>24.77603085278944</v>
      </c>
      <c r="M28" s="123">
        <f t="shared" si="8"/>
        <v>28.172562716654014</v>
      </c>
      <c r="N28" s="123">
        <f t="shared" si="8"/>
        <v>31.70680126047267</v>
      </c>
      <c r="O28" s="123">
        <f t="shared" si="8"/>
        <v>35.373086372358856</v>
      </c>
      <c r="P28" s="124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3">
        <v>5</v>
      </c>
      <c r="AA28" s="131">
        <f t="shared" si="6"/>
        <v>0.20954031821932695</v>
      </c>
    </row>
    <row r="29" spans="1:28" x14ac:dyDescent="0.25">
      <c r="A29">
        <v>8</v>
      </c>
      <c r="B29" s="122">
        <f t="shared" ref="B29:P29" si="9">B61*365</f>
        <v>0.63282712604492919</v>
      </c>
      <c r="C29" s="123">
        <f t="shared" si="9"/>
        <v>1.7609797840031056</v>
      </c>
      <c r="D29" s="123">
        <f t="shared" si="9"/>
        <v>3.2044406610378706</v>
      </c>
      <c r="E29" s="123">
        <f t="shared" si="9"/>
        <v>4.9003111150571295</v>
      </c>
      <c r="F29" s="123">
        <f t="shared" si="9"/>
        <v>6.8125672654454386</v>
      </c>
      <c r="G29" s="123">
        <f t="shared" si="9"/>
        <v>8.9170564770079128</v>
      </c>
      <c r="H29" s="123">
        <f t="shared" si="9"/>
        <v>11.196134768454778</v>
      </c>
      <c r="I29" s="123">
        <f t="shared" si="9"/>
        <v>13.636186651595361</v>
      </c>
      <c r="J29" s="123">
        <f t="shared" si="9"/>
        <v>16.226295503937976</v>
      </c>
      <c r="K29" s="123">
        <f t="shared" si="9"/>
        <v>18.957457317907387</v>
      </c>
      <c r="L29" s="123">
        <f t="shared" si="9"/>
        <v>21.822081807025718</v>
      </c>
      <c r="M29" s="123">
        <f t="shared" si="9"/>
        <v>24.813658489901762</v>
      </c>
      <c r="N29" s="123">
        <f t="shared" si="9"/>
        <v>27.926523625039863</v>
      </c>
      <c r="O29" s="123">
        <f t="shared" si="9"/>
        <v>31.155691933508173</v>
      </c>
      <c r="P29" s="124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3">
        <v>6</v>
      </c>
      <c r="AA29" s="131">
        <f t="shared" si="6"/>
        <v>0.22824499867590176</v>
      </c>
    </row>
    <row r="30" spans="1:28" x14ac:dyDescent="0.25">
      <c r="A30">
        <v>9</v>
      </c>
      <c r="B30" s="122">
        <f t="shared" ref="B30:P30" si="10">B62*365</f>
        <v>0.56578585015694671</v>
      </c>
      <c r="C30" s="123">
        <f t="shared" si="10"/>
        <v>1.5744227818240777</v>
      </c>
      <c r="D30" s="123">
        <f t="shared" si="10"/>
        <v>2.8649643940106313</v>
      </c>
      <c r="E30" s="123">
        <f t="shared" si="10"/>
        <v>4.3811754840441068</v>
      </c>
      <c r="F30" s="123">
        <f t="shared" si="10"/>
        <v>6.0908485167523887</v>
      </c>
      <c r="G30" s="123">
        <f t="shared" si="10"/>
        <v>7.9723895707075565</v>
      </c>
      <c r="H30" s="123">
        <f t="shared" si="10"/>
        <v>10.010023856013078</v>
      </c>
      <c r="I30" s="123">
        <f t="shared" si="10"/>
        <v>12.191578300048935</v>
      </c>
      <c r="J30" s="123">
        <f t="shared" si="10"/>
        <v>14.507292779895135</v>
      </c>
      <c r="K30" s="123">
        <f t="shared" si="10"/>
        <v>16.949117166423033</v>
      </c>
      <c r="L30" s="123">
        <f t="shared" si="10"/>
        <v>19.510265282948545</v>
      </c>
      <c r="M30" s="123">
        <f t="shared" si="10"/>
        <v>22.184916364056832</v>
      </c>
      <c r="N30" s="123">
        <f t="shared" si="10"/>
        <v>24.968006681179222</v>
      </c>
      <c r="O30" s="123">
        <f t="shared" si="10"/>
        <v>27.85507909244766</v>
      </c>
      <c r="P30" s="124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3">
        <v>7</v>
      </c>
      <c r="AA30" s="131">
        <f t="shared" si="6"/>
        <v>0.24507303838110905</v>
      </c>
    </row>
    <row r="31" spans="1:28" x14ac:dyDescent="0.25">
      <c r="A31">
        <v>10</v>
      </c>
      <c r="B31" s="122">
        <f t="shared" ref="B31:P31" si="11">B63*365</f>
        <v>0.51185668130877937</v>
      </c>
      <c r="C31" s="123">
        <f t="shared" si="11"/>
        <v>1.4243530831636411</v>
      </c>
      <c r="D31" s="123">
        <f t="shared" si="11"/>
        <v>2.5918837778981429</v>
      </c>
      <c r="E31" s="123">
        <f t="shared" si="11"/>
        <v>3.9635737494533165</v>
      </c>
      <c r="F31" s="123">
        <f t="shared" si="11"/>
        <v>5.5102853973363901</v>
      </c>
      <c r="G31" s="123">
        <f t="shared" si="11"/>
        <v>7.2124830739954318</v>
      </c>
      <c r="H31" s="123">
        <f t="shared" si="11"/>
        <v>9.0558955996147148</v>
      </c>
      <c r="I31" s="123">
        <f t="shared" si="11"/>
        <v>11.029510205757411</v>
      </c>
      <c r="J31" s="123">
        <f t="shared" si="11"/>
        <v>13.124497077882195</v>
      </c>
      <c r="K31" s="123">
        <f t="shared" si="11"/>
        <v>15.333573403280417</v>
      </c>
      <c r="L31" s="123">
        <f t="shared" si="11"/>
        <v>17.650599845177698</v>
      </c>
      <c r="M31" s="123">
        <f t="shared" si="11"/>
        <v>20.070310457691711</v>
      </c>
      <c r="N31" s="123">
        <f t="shared" si="11"/>
        <v>22.58812417309251</v>
      </c>
      <c r="O31" s="123">
        <f t="shared" si="11"/>
        <v>25.200008692155816</v>
      </c>
      <c r="P31" s="124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3">
        <v>8</v>
      </c>
      <c r="AA31" s="131">
        <f t="shared" si="6"/>
        <v>0.26046562775915616</v>
      </c>
    </row>
    <row r="32" spans="1:28" x14ac:dyDescent="0.25">
      <c r="A32">
        <v>11</v>
      </c>
      <c r="B32" s="122">
        <f t="shared" ref="B32:P32" si="12">B64*365</f>
        <v>0.46751385733041634</v>
      </c>
      <c r="C32" s="123">
        <f t="shared" si="12"/>
        <v>1.3009594842205363</v>
      </c>
      <c r="D32" s="123">
        <f t="shared" si="12"/>
        <v>2.3673454445470172</v>
      </c>
      <c r="E32" s="123">
        <f t="shared" si="12"/>
        <v>3.6202040924472314</v>
      </c>
      <c r="F32" s="123">
        <f t="shared" si="12"/>
        <v>5.0329220564498973</v>
      </c>
      <c r="G32" s="123">
        <f t="shared" si="12"/>
        <v>6.5876560880912107</v>
      </c>
      <c r="H32" s="123">
        <f t="shared" si="12"/>
        <v>8.2713713388130827</v>
      </c>
      <c r="I32" s="123">
        <f t="shared" si="12"/>
        <v>10.074009090931833</v>
      </c>
      <c r="J32" s="123">
        <f t="shared" si="12"/>
        <v>11.987504468464657</v>
      </c>
      <c r="K32" s="123">
        <f t="shared" si="12"/>
        <v>14.005205578438446</v>
      </c>
      <c r="L32" s="123">
        <f t="shared" si="12"/>
        <v>16.121504942975797</v>
      </c>
      <c r="M32" s="123">
        <f t="shared" si="12"/>
        <v>18.331592812078636</v>
      </c>
      <c r="N32" s="123">
        <f t="shared" si="12"/>
        <v>20.631284981997499</v>
      </c>
      <c r="O32" s="123">
        <f t="shared" si="12"/>
        <v>23.016898476944259</v>
      </c>
      <c r="P32" s="124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3">
        <v>9</v>
      </c>
      <c r="AA32" s="131">
        <f t="shared" si="6"/>
        <v>0.27471589296172017</v>
      </c>
    </row>
    <row r="33" spans="1:27" ht="15.75" thickBot="1" x14ac:dyDescent="0.3">
      <c r="A33">
        <v>12</v>
      </c>
      <c r="B33" s="125">
        <f t="shared" ref="B33:P33" si="13">B65*365</f>
        <v>0.43039498551385152</v>
      </c>
      <c r="C33" s="126">
        <f t="shared" si="13"/>
        <v>1.1976681109785294</v>
      </c>
      <c r="D33" s="126">
        <f t="shared" si="13"/>
        <v>2.1793869686134042</v>
      </c>
      <c r="E33" s="126">
        <f t="shared" si="13"/>
        <v>3.3327732718408156</v>
      </c>
      <c r="F33" s="126">
        <f t="shared" si="13"/>
        <v>4.6333266524914372</v>
      </c>
      <c r="G33" s="126">
        <f t="shared" si="13"/>
        <v>6.0646205500608357</v>
      </c>
      <c r="H33" s="126">
        <f t="shared" si="13"/>
        <v>7.6146550347750148</v>
      </c>
      <c r="I33" s="126">
        <f t="shared" si="13"/>
        <v>9.2741700139460832</v>
      </c>
      <c r="J33" s="126">
        <f t="shared" si="13"/>
        <v>11.035740932927443</v>
      </c>
      <c r="K33" s="126">
        <f t="shared" si="13"/>
        <v>12.893244034455194</v>
      </c>
      <c r="L33" s="126">
        <f t="shared" si="13"/>
        <v>14.841517053663877</v>
      </c>
      <c r="M33" s="126">
        <f t="shared" si="13"/>
        <v>16.876132116923028</v>
      </c>
      <c r="N33" s="126">
        <f t="shared" si="13"/>
        <v>18.993237230791387</v>
      </c>
      <c r="O33" s="126">
        <f t="shared" si="13"/>
        <v>21.189441834141991</v>
      </c>
      <c r="P33" s="127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3">
        <v>10</v>
      </c>
      <c r="AA33" s="131">
        <f t="shared" si="6"/>
        <v>0.28803009395272738</v>
      </c>
    </row>
    <row r="34" spans="1:27" x14ac:dyDescent="0.25">
      <c r="T34">
        <v>15</v>
      </c>
      <c r="U34">
        <v>1</v>
      </c>
      <c r="V34">
        <v>1.8539513749378147</v>
      </c>
      <c r="W34">
        <v>0.68248541636574067</v>
      </c>
      <c r="Z34" s="63">
        <v>11</v>
      </c>
      <c r="AA34" s="131">
        <f t="shared" si="6"/>
        <v>0.30055974470290536</v>
      </c>
    </row>
    <row r="35" spans="1:27" x14ac:dyDescent="0.25">
      <c r="T35">
        <v>0</v>
      </c>
      <c r="U35">
        <v>2</v>
      </c>
      <c r="V35">
        <v>0</v>
      </c>
      <c r="W35">
        <v>0</v>
      </c>
      <c r="Z35" s="63">
        <v>12</v>
      </c>
      <c r="AA35" s="131">
        <f t="shared" si="6"/>
        <v>0.31241993448090666</v>
      </c>
    </row>
    <row r="36" spans="1:27" x14ac:dyDescent="0.25">
      <c r="A36" s="130" t="s">
        <v>205</v>
      </c>
      <c r="T36">
        <v>1</v>
      </c>
      <c r="U36">
        <v>2</v>
      </c>
      <c r="V36">
        <v>1.7595544574386522E-2</v>
      </c>
      <c r="W36">
        <v>6.4773557318540459E-3</v>
      </c>
      <c r="Z36" s="63">
        <v>13</v>
      </c>
      <c r="AA36" s="131">
        <f t="shared" si="6"/>
        <v>0.32370046367102079</v>
      </c>
    </row>
    <row r="37" spans="1:27" ht="15.75" thickBot="1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3">
        <v>14</v>
      </c>
      <c r="AA37" s="131">
        <f t="shared" si="6"/>
        <v>0.33447296100395407</v>
      </c>
    </row>
    <row r="38" spans="1:27" x14ac:dyDescent="0.25">
      <c r="A38">
        <v>0</v>
      </c>
      <c r="B38" s="119">
        <f>B21</f>
        <v>2.5540998732300202</v>
      </c>
      <c r="C38" s="120">
        <f>C21-B21</f>
        <v>4.5532412282695294</v>
      </c>
      <c r="D38" s="120">
        <f t="shared" ref="D38:P38" si="14">D21-C21</f>
        <v>5.825829979963971</v>
      </c>
      <c r="E38" s="120">
        <f t="shared" si="14"/>
        <v>6.8445588587452626</v>
      </c>
      <c r="F38" s="120">
        <f t="shared" si="14"/>
        <v>7.7178948093058679</v>
      </c>
      <c r="G38" s="120">
        <f t="shared" si="14"/>
        <v>8.4937503581097111</v>
      </c>
      <c r="H38" s="120">
        <f t="shared" si="14"/>
        <v>9.1983945309772537</v>
      </c>
      <c r="I38" s="120">
        <f t="shared" si="14"/>
        <v>9.8480863871211</v>
      </c>
      <c r="J38" s="120">
        <f t="shared" si="14"/>
        <v>10.453718589412283</v>
      </c>
      <c r="K38" s="120">
        <f t="shared" si="14"/>
        <v>11.023010480645382</v>
      </c>
      <c r="L38" s="120">
        <f t="shared" si="14"/>
        <v>11.561667860598746</v>
      </c>
      <c r="M38" s="120">
        <f t="shared" si="14"/>
        <v>12.074048838970143</v>
      </c>
      <c r="N38" s="120">
        <f t="shared" si="14"/>
        <v>12.563570870812995</v>
      </c>
      <c r="O38" s="120">
        <f t="shared" si="14"/>
        <v>13.032972241319101</v>
      </c>
      <c r="P38" s="120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3">
        <v>15</v>
      </c>
      <c r="AA38" s="131">
        <f t="shared" si="6"/>
        <v>0.34479562193520197</v>
      </c>
    </row>
    <row r="39" spans="1:27" x14ac:dyDescent="0.25">
      <c r="A39">
        <v>1</v>
      </c>
      <c r="B39" s="122">
        <f>B22</f>
        <v>4.569759838581362</v>
      </c>
      <c r="C39" s="123">
        <f>C22-B22</f>
        <v>8.146595643499758</v>
      </c>
      <c r="D39" s="123">
        <f t="shared" ref="D39:P39" si="15">D22-C22</f>
        <v>10.423493673007592</v>
      </c>
      <c r="E39" s="123">
        <f>E22-D22</f>
        <v>12.246189161720196</v>
      </c>
      <c r="F39" s="123">
        <f t="shared" si="15"/>
        <v>13.808749652909604</v>
      </c>
      <c r="G39" s="123">
        <f t="shared" si="15"/>
        <v>15.196899570078095</v>
      </c>
      <c r="H39" s="123">
        <f t="shared" si="15"/>
        <v>16.457639087514551</v>
      </c>
      <c r="I39" s="123">
        <f t="shared" si="15"/>
        <v>17.62005868698968</v>
      </c>
      <c r="J39" s="123">
        <f t="shared" si="15"/>
        <v>18.703647368853453</v>
      </c>
      <c r="K39" s="123">
        <f t="shared" si="15"/>
        <v>19.722216473473893</v>
      </c>
      <c r="L39" s="123">
        <f t="shared" si="15"/>
        <v>20.685974738162827</v>
      </c>
      <c r="M39" s="123">
        <f t="shared" si="15"/>
        <v>21.602719631953335</v>
      </c>
      <c r="N39" s="123">
        <f t="shared" si="15"/>
        <v>22.478565617720193</v>
      </c>
      <c r="O39" s="123">
        <f t="shared" si="15"/>
        <v>23.318411997102885</v>
      </c>
      <c r="P39" s="123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25">
      <c r="A40">
        <v>2</v>
      </c>
      <c r="B40" s="122">
        <f>B23</f>
        <v>2.3642348421267267</v>
      </c>
      <c r="C40" s="123">
        <f>C23-B23</f>
        <v>4.2147653149009159</v>
      </c>
      <c r="D40" s="123">
        <f t="shared" ref="D40:P40" si="16">D23-C23</f>
        <v>5.3927531837345759</v>
      </c>
      <c r="E40" s="123">
        <f t="shared" si="16"/>
        <v>6.3357524513589549</v>
      </c>
      <c r="F40" s="123">
        <f t="shared" si="16"/>
        <v>7.1441669166030408</v>
      </c>
      <c r="G40" s="123">
        <f t="shared" si="16"/>
        <v>7.8623474154022865</v>
      </c>
      <c r="H40" s="123">
        <f>H23-G23</f>
        <v>8.5146102036573836</v>
      </c>
      <c r="I40" s="123">
        <f t="shared" si="16"/>
        <v>9.1160056851107925</v>
      </c>
      <c r="J40" s="123">
        <f t="shared" si="16"/>
        <v>9.6766167908777589</v>
      </c>
      <c r="K40" s="123">
        <f t="shared" si="16"/>
        <v>10.203589028220776</v>
      </c>
      <c r="L40" s="123">
        <f t="shared" si="16"/>
        <v>10.702204042849729</v>
      </c>
      <c r="M40" s="123">
        <f t="shared" si="16"/>
        <v>11.176495974111106</v>
      </c>
      <c r="N40" s="123">
        <f t="shared" si="16"/>
        <v>11.629628232485885</v>
      </c>
      <c r="O40" s="123">
        <f t="shared" si="16"/>
        <v>12.064135546285314</v>
      </c>
      <c r="P40" s="123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25">
      <c r="A41">
        <v>3</v>
      </c>
      <c r="B41" s="122">
        <f t="shared" ref="B41:B50" si="17">B24</f>
        <v>1.6079507005144258</v>
      </c>
      <c r="C41" s="123">
        <f t="shared" ref="C41:P41" si="18">C24-B24</f>
        <v>2.8665235448871558</v>
      </c>
      <c r="D41" s="123">
        <f t="shared" si="18"/>
        <v>3.6676903262652347</v>
      </c>
      <c r="E41" s="123">
        <f t="shared" si="18"/>
        <v>4.3090379225121627</v>
      </c>
      <c r="F41" s="123">
        <f t="shared" si="18"/>
        <v>4.8588524259334562</v>
      </c>
      <c r="G41" s="123">
        <f t="shared" si="18"/>
        <v>5.3472974888195282</v>
      </c>
      <c r="H41" s="123">
        <f t="shared" si="18"/>
        <v>5.7909109525103162</v>
      </c>
      <c r="I41" s="123">
        <f t="shared" si="18"/>
        <v>6.1999288167506421</v>
      </c>
      <c r="J41" s="123">
        <f t="shared" si="18"/>
        <v>6.5812086304866</v>
      </c>
      <c r="K41" s="123">
        <f t="shared" si="18"/>
        <v>6.9396101577330001</v>
      </c>
      <c r="L41" s="123">
        <f t="shared" si="18"/>
        <v>7.2787255229978314</v>
      </c>
      <c r="M41" s="123">
        <f t="shared" si="18"/>
        <v>7.6012984034626143</v>
      </c>
      <c r="N41" s="123">
        <f t="shared" si="18"/>
        <v>7.9094802808703832</v>
      </c>
      <c r="O41" s="123">
        <f t="shared" si="18"/>
        <v>8.2049950610239222</v>
      </c>
      <c r="P41" s="123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25">
      <c r="A42">
        <v>4</v>
      </c>
      <c r="B42" s="122">
        <f t="shared" si="17"/>
        <v>1.2231728988325166</v>
      </c>
      <c r="C42" s="123">
        <f t="shared" ref="C42:P42" si="19">C25-B25</f>
        <v>2.1805730193404189</v>
      </c>
      <c r="D42" s="123">
        <f t="shared" si="19"/>
        <v>2.7900229820246141</v>
      </c>
      <c r="E42" s="123">
        <f t="shared" si="19"/>
        <v>3.2778980133981799</v>
      </c>
      <c r="F42" s="123">
        <f t="shared" si="19"/>
        <v>3.6961435477636471</v>
      </c>
      <c r="G42" s="123">
        <f t="shared" si="19"/>
        <v>4.0677051654796941</v>
      </c>
      <c r="H42" s="123">
        <f t="shared" si="19"/>
        <v>4.4051632518315955</v>
      </c>
      <c r="I42" s="123">
        <f t="shared" si="19"/>
        <v>4.7163043623874401</v>
      </c>
      <c r="J42" s="123">
        <f t="shared" si="19"/>
        <v>5.006345055105534</v>
      </c>
      <c r="K42" s="123">
        <f t="shared" si="19"/>
        <v>5.2789821669819865</v>
      </c>
      <c r="L42" s="123">
        <f t="shared" si="19"/>
        <v>5.5369482378552632</v>
      </c>
      <c r="M42" s="123">
        <f t="shared" si="19"/>
        <v>5.7823303911492943</v>
      </c>
      <c r="N42" s="123">
        <f t="shared" si="19"/>
        <v>6.0167652654497843</v>
      </c>
      <c r="O42" s="123">
        <f t="shared" si="19"/>
        <v>6.2415642410481169</v>
      </c>
      <c r="P42" s="123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25">
      <c r="A43">
        <v>5</v>
      </c>
      <c r="B43" s="122">
        <f t="shared" si="17"/>
        <v>0.9893526919053095</v>
      </c>
      <c r="C43" s="123">
        <f t="shared" ref="C43:P43" si="20">C26-B26</f>
        <v>1.7637373985637408</v>
      </c>
      <c r="D43" s="123">
        <f t="shared" si="20"/>
        <v>2.2566856659253762</v>
      </c>
      <c r="E43" s="123">
        <f t="shared" si="20"/>
        <v>2.6512991143295466</v>
      </c>
      <c r="F43" s="123">
        <f t="shared" si="20"/>
        <v>2.9895933535959687</v>
      </c>
      <c r="G43" s="123">
        <f t="shared" si="20"/>
        <v>3.290127715538528</v>
      </c>
      <c r="H43" s="123">
        <f t="shared" si="20"/>
        <v>3.563077734670026</v>
      </c>
      <c r="I43" s="123">
        <f t="shared" si="20"/>
        <v>3.814741498300382</v>
      </c>
      <c r="J43" s="123">
        <f t="shared" si="20"/>
        <v>4.0493383736698476</v>
      </c>
      <c r="K43" s="123">
        <f t="shared" si="20"/>
        <v>4.2698585150216601</v>
      </c>
      <c r="L43" s="123">
        <f t="shared" si="20"/>
        <v>4.4785121132842747</v>
      </c>
      <c r="M43" s="123">
        <f t="shared" si="20"/>
        <v>4.6769873199690153</v>
      </c>
      <c r="N43" s="123">
        <f t="shared" si="20"/>
        <v>4.8666079158692881</v>
      </c>
      <c r="O43" s="123">
        <f t="shared" si="20"/>
        <v>5.0484345994542963</v>
      </c>
      <c r="P43" s="123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25">
      <c r="A44">
        <v>6</v>
      </c>
      <c r="B44" s="122">
        <f t="shared" si="17"/>
        <v>0.83189778125373892</v>
      </c>
      <c r="C44" s="123">
        <f t="shared" ref="C44:P44" si="21">C27-B27</f>
        <v>1.4830396082046009</v>
      </c>
      <c r="D44" s="123">
        <f t="shared" si="21"/>
        <v>1.8975354429521429</v>
      </c>
      <c r="E44" s="123">
        <f>E27-D27</f>
        <v>2.2293463884988869</v>
      </c>
      <c r="F44" s="123">
        <f t="shared" si="21"/>
        <v>2.5138012945796309</v>
      </c>
      <c r="G44" s="123">
        <f t="shared" si="21"/>
        <v>2.7665057860477287</v>
      </c>
      <c r="H44" s="123">
        <f t="shared" si="21"/>
        <v>2.9960159669634656</v>
      </c>
      <c r="I44" s="123">
        <f t="shared" si="21"/>
        <v>3.2076275876716167</v>
      </c>
      <c r="J44" s="123">
        <f t="shared" si="21"/>
        <v>3.4048885055482145</v>
      </c>
      <c r="K44" s="123">
        <f t="shared" si="21"/>
        <v>3.590312993512196</v>
      </c>
      <c r="L44" s="123">
        <f t="shared" si="21"/>
        <v>3.7657594918797308</v>
      </c>
      <c r="M44" s="123">
        <f t="shared" si="21"/>
        <v>3.9326474838221657</v>
      </c>
      <c r="N44" s="123">
        <f t="shared" si="21"/>
        <v>4.0920900711826462</v>
      </c>
      <c r="O44" s="123">
        <f t="shared" si="21"/>
        <v>4.2449791428804104</v>
      </c>
      <c r="P44" s="123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25">
      <c r="A45">
        <v>7</v>
      </c>
      <c r="B45" s="122">
        <f t="shared" si="17"/>
        <v>0.7184898552769301</v>
      </c>
      <c r="C45" s="123">
        <f t="shared" ref="C45:P45" si="22">C28-B28</f>
        <v>1.2808651945951919</v>
      </c>
      <c r="D45" s="123">
        <f t="shared" si="22"/>
        <v>1.6388551532555291</v>
      </c>
      <c r="E45" s="123">
        <f t="shared" si="22"/>
        <v>1.9254321866572623</v>
      </c>
      <c r="F45" s="123">
        <f t="shared" si="22"/>
        <v>2.1711089619874633</v>
      </c>
      <c r="G45" s="123">
        <f t="shared" si="22"/>
        <v>2.3893636774034723</v>
      </c>
      <c r="H45" s="123">
        <f t="shared" si="22"/>
        <v>2.5875860316237347</v>
      </c>
      <c r="I45" s="123">
        <f t="shared" si="22"/>
        <v>2.7703498352588127</v>
      </c>
      <c r="J45" s="123">
        <f t="shared" si="22"/>
        <v>2.9407192863268889</v>
      </c>
      <c r="K45" s="123">
        <f t="shared" si="22"/>
        <v>3.1008659011204323</v>
      </c>
      <c r="L45" s="123">
        <f t="shared" si="22"/>
        <v>3.2523947692837218</v>
      </c>
      <c r="M45" s="123">
        <f t="shared" si="22"/>
        <v>3.3965318638645741</v>
      </c>
      <c r="N45" s="123">
        <f t="shared" si="22"/>
        <v>3.5342385438186561</v>
      </c>
      <c r="O45" s="123">
        <f t="shared" si="22"/>
        <v>3.6662851118861859</v>
      </c>
      <c r="P45" s="123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25">
      <c r="A46">
        <v>8</v>
      </c>
      <c r="B46" s="122">
        <f t="shared" si="17"/>
        <v>0.63282712604492919</v>
      </c>
      <c r="C46" s="123">
        <f t="shared" ref="C46:P46" si="23">C29-B29</f>
        <v>1.1281526579581764</v>
      </c>
      <c r="D46" s="123">
        <f t="shared" si="23"/>
        <v>1.443460877034765</v>
      </c>
      <c r="E46" s="123">
        <f t="shared" si="23"/>
        <v>1.6958704540192588</v>
      </c>
      <c r="F46" s="123">
        <f t="shared" si="23"/>
        <v>1.9122561503883091</v>
      </c>
      <c r="G46" s="123">
        <f t="shared" si="23"/>
        <v>2.1044892115624743</v>
      </c>
      <c r="H46" s="123">
        <f t="shared" si="23"/>
        <v>2.279078291446865</v>
      </c>
      <c r="I46" s="123">
        <f t="shared" si="23"/>
        <v>2.4400518831405833</v>
      </c>
      <c r="J46" s="123">
        <f t="shared" si="23"/>
        <v>2.590108852342615</v>
      </c>
      <c r="K46" s="123">
        <f t="shared" si="23"/>
        <v>2.7311618139694112</v>
      </c>
      <c r="L46" s="123">
        <f t="shared" si="23"/>
        <v>2.8646244891183308</v>
      </c>
      <c r="M46" s="123">
        <f t="shared" si="23"/>
        <v>2.9915766828760439</v>
      </c>
      <c r="N46" s="123">
        <f t="shared" si="23"/>
        <v>3.1128651351381009</v>
      </c>
      <c r="O46" s="123">
        <f t="shared" si="23"/>
        <v>3.22916830846831</v>
      </c>
      <c r="P46" s="123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25">
      <c r="A47">
        <v>9</v>
      </c>
      <c r="B47" s="122">
        <f t="shared" si="17"/>
        <v>0.56578585015694671</v>
      </c>
      <c r="C47" s="123">
        <f t="shared" ref="C47:P47" si="24">C30-B30</f>
        <v>1.0086369316671311</v>
      </c>
      <c r="D47" s="123">
        <f t="shared" si="24"/>
        <v>1.2905416121865536</v>
      </c>
      <c r="E47" s="123">
        <f t="shared" si="24"/>
        <v>1.5162110900334755</v>
      </c>
      <c r="F47" s="123">
        <f t="shared" si="24"/>
        <v>1.7096730327082819</v>
      </c>
      <c r="G47" s="123">
        <f t="shared" si="24"/>
        <v>1.8815410539551678</v>
      </c>
      <c r="H47" s="123">
        <f t="shared" si="24"/>
        <v>2.0376342853055212</v>
      </c>
      <c r="I47" s="123">
        <f t="shared" si="24"/>
        <v>2.1815544440358572</v>
      </c>
      <c r="J47" s="123">
        <f t="shared" si="24"/>
        <v>2.3157144798461999</v>
      </c>
      <c r="K47" s="123">
        <f t="shared" si="24"/>
        <v>2.4418243865278981</v>
      </c>
      <c r="L47" s="123">
        <f t="shared" si="24"/>
        <v>2.5611481165255121</v>
      </c>
      <c r="M47" s="123">
        <f t="shared" si="24"/>
        <v>2.6746510811082871</v>
      </c>
      <c r="N47" s="123">
        <f t="shared" si="24"/>
        <v>2.7830903171223902</v>
      </c>
      <c r="O47" s="123">
        <f t="shared" si="24"/>
        <v>2.8870724112684378</v>
      </c>
      <c r="P47" s="123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25">
      <c r="A48">
        <v>10</v>
      </c>
      <c r="B48" s="122">
        <f t="shared" si="17"/>
        <v>0.51185668130877937</v>
      </c>
      <c r="C48" s="123">
        <f t="shared" ref="C48:P48" si="25">C31-B31</f>
        <v>0.91249640185486169</v>
      </c>
      <c r="D48" s="123">
        <f t="shared" si="25"/>
        <v>1.1675306947345019</v>
      </c>
      <c r="E48" s="123">
        <f t="shared" si="25"/>
        <v>1.3716899715551736</v>
      </c>
      <c r="F48" s="123">
        <f t="shared" si="25"/>
        <v>1.5467116478830736</v>
      </c>
      <c r="G48" s="123">
        <f t="shared" si="25"/>
        <v>1.7021976766590416</v>
      </c>
      <c r="H48" s="123">
        <f t="shared" si="25"/>
        <v>1.843412525619283</v>
      </c>
      <c r="I48" s="123">
        <f t="shared" si="25"/>
        <v>1.9736146061426965</v>
      </c>
      <c r="J48" s="123">
        <f t="shared" si="25"/>
        <v>2.0949868721247835</v>
      </c>
      <c r="K48" s="123">
        <f t="shared" si="25"/>
        <v>2.2090763253982217</v>
      </c>
      <c r="L48" s="123">
        <f t="shared" si="25"/>
        <v>2.3170264418972817</v>
      </c>
      <c r="M48" s="123">
        <f t="shared" si="25"/>
        <v>2.4197106125140131</v>
      </c>
      <c r="N48" s="123">
        <f t="shared" si="25"/>
        <v>2.5178137154007985</v>
      </c>
      <c r="O48" s="123">
        <f t="shared" si="25"/>
        <v>2.611884519063306</v>
      </c>
      <c r="P48" s="123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25">
      <c r="A49">
        <v>11</v>
      </c>
      <c r="B49" s="122">
        <f t="shared" si="17"/>
        <v>0.46751385733041634</v>
      </c>
      <c r="C49" s="123">
        <f t="shared" ref="C49:P50" si="26">C32-B32</f>
        <v>0.83344562689012003</v>
      </c>
      <c r="D49" s="123">
        <f t="shared" si="26"/>
        <v>1.0663859603264809</v>
      </c>
      <c r="E49" s="123">
        <f t="shared" si="26"/>
        <v>1.2528586479002142</v>
      </c>
      <c r="F49" s="123">
        <f t="shared" si="26"/>
        <v>1.4127179640026659</v>
      </c>
      <c r="G49" s="123">
        <f t="shared" si="26"/>
        <v>1.5547340316413134</v>
      </c>
      <c r="H49" s="123">
        <f t="shared" si="26"/>
        <v>1.683715250721872</v>
      </c>
      <c r="I49" s="123">
        <f t="shared" si="26"/>
        <v>1.8026377521187502</v>
      </c>
      <c r="J49" s="123">
        <f t="shared" si="26"/>
        <v>1.9134953775328238</v>
      </c>
      <c r="K49" s="123">
        <f t="shared" si="26"/>
        <v>2.0177011099737889</v>
      </c>
      <c r="L49" s="123">
        <f t="shared" si="26"/>
        <v>2.1162993645373511</v>
      </c>
      <c r="M49" s="123">
        <f t="shared" si="26"/>
        <v>2.2100878691028392</v>
      </c>
      <c r="N49" s="123">
        <f t="shared" si="26"/>
        <v>2.2996921699188633</v>
      </c>
      <c r="O49" s="123">
        <f t="shared" si="26"/>
        <v>2.3856134949467602</v>
      </c>
      <c r="P49" s="123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25">
      <c r="A50">
        <v>12</v>
      </c>
      <c r="B50" s="122">
        <f t="shared" si="17"/>
        <v>0.43039498551385152</v>
      </c>
      <c r="C50" s="123">
        <f t="shared" si="26"/>
        <v>0.76727312546467785</v>
      </c>
      <c r="D50" s="123">
        <f t="shared" si="26"/>
        <v>0.98171885763487476</v>
      </c>
      <c r="E50" s="123">
        <f t="shared" si="26"/>
        <v>1.1533863032274114</v>
      </c>
      <c r="F50" s="123">
        <f t="shared" si="26"/>
        <v>1.3005533806506215</v>
      </c>
      <c r="G50" s="123">
        <f t="shared" si="26"/>
        <v>1.4312938975693985</v>
      </c>
      <c r="H50" s="123">
        <f t="shared" si="26"/>
        <v>1.5500344847141792</v>
      </c>
      <c r="I50" s="123">
        <f t="shared" si="26"/>
        <v>1.6595149791710684</v>
      </c>
      <c r="J50" s="123">
        <f t="shared" si="26"/>
        <v>1.7615709189813593</v>
      </c>
      <c r="K50" s="123">
        <f t="shared" si="26"/>
        <v>1.857503101527751</v>
      </c>
      <c r="L50" s="123">
        <f t="shared" si="26"/>
        <v>1.948273019208683</v>
      </c>
      <c r="M50" s="123">
        <f t="shared" si="26"/>
        <v>2.0346150632591513</v>
      </c>
      <c r="N50" s="123">
        <f t="shared" si="26"/>
        <v>2.1171051138683588</v>
      </c>
      <c r="O50" s="123">
        <f t="shared" si="26"/>
        <v>2.1962046033506049</v>
      </c>
      <c r="P50" s="123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25">
      <c r="T51">
        <v>0</v>
      </c>
      <c r="U51">
        <v>3</v>
      </c>
      <c r="V51">
        <v>0</v>
      </c>
      <c r="W51">
        <v>0</v>
      </c>
    </row>
    <row r="52" spans="1:23" x14ac:dyDescent="0.25">
      <c r="A52" s="103" t="s">
        <v>121</v>
      </c>
      <c r="B52" s="103">
        <v>9</v>
      </c>
      <c r="C52" s="103">
        <v>18</v>
      </c>
      <c r="D52" s="103">
        <v>27</v>
      </c>
      <c r="E52" s="103">
        <v>36</v>
      </c>
      <c r="F52" s="103">
        <v>45</v>
      </c>
      <c r="G52" s="103">
        <v>54</v>
      </c>
      <c r="H52" s="103">
        <v>63</v>
      </c>
      <c r="I52" s="103">
        <v>72</v>
      </c>
      <c r="J52" s="103">
        <v>81</v>
      </c>
      <c r="K52" s="103">
        <v>90</v>
      </c>
      <c r="L52" s="103">
        <v>99</v>
      </c>
      <c r="M52" s="103">
        <v>108</v>
      </c>
      <c r="N52" s="103">
        <v>117</v>
      </c>
      <c r="O52" s="103">
        <v>126</v>
      </c>
      <c r="P52" s="103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25">
      <c r="A53" s="103">
        <v>0</v>
      </c>
      <c r="B53" s="118">
        <f t="shared" ref="B53:P53" si="27">VLOOKUP(B52/9,$T$4:$W$18,4)</f>
        <v>6.9975338992603296E-3</v>
      </c>
      <c r="C53" s="118">
        <f t="shared" si="27"/>
        <v>1.9472167401368628E-2</v>
      </c>
      <c r="D53" s="118">
        <f t="shared" si="27"/>
        <v>3.5433345428667176E-2</v>
      </c>
      <c r="E53" s="118">
        <f t="shared" si="27"/>
        <v>5.4185561480024062E-2</v>
      </c>
      <c r="F53" s="118">
        <f t="shared" si="27"/>
        <v>7.533047876579356E-2</v>
      </c>
      <c r="G53" s="118">
        <f t="shared" si="27"/>
        <v>9.8601027692121535E-2</v>
      </c>
      <c r="H53" s="118">
        <f t="shared" si="27"/>
        <v>0.12380210859890854</v>
      </c>
      <c r="I53" s="118">
        <f t="shared" si="27"/>
        <v>0.15078316719376086</v>
      </c>
      <c r="J53" s="118">
        <f t="shared" si="27"/>
        <v>0.17942349209626027</v>
      </c>
      <c r="K53" s="118">
        <f t="shared" si="27"/>
        <v>0.20962352081035721</v>
      </c>
      <c r="L53" s="118">
        <f t="shared" si="27"/>
        <v>0.24129932316816199</v>
      </c>
      <c r="M53" s="118">
        <f t="shared" si="27"/>
        <v>0.27437890902835416</v>
      </c>
      <c r="N53" s="118">
        <f t="shared" si="27"/>
        <v>0.30879965114017061</v>
      </c>
      <c r="O53" s="118">
        <f t="shared" si="27"/>
        <v>0.34450642440405854</v>
      </c>
      <c r="P53" s="118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25">
      <c r="A54" s="103">
        <v>1</v>
      </c>
      <c r="B54" s="118">
        <f t="shared" ref="B54:P54" si="28">VLOOKUP(B$52/9,$T$20:$W$34,4)</f>
        <v>1.2519889968716062E-2</v>
      </c>
      <c r="C54" s="118">
        <f t="shared" si="28"/>
        <v>3.4839330087893479E-2</v>
      </c>
      <c r="D54" s="118">
        <f t="shared" si="28"/>
        <v>6.3396847000243048E-2</v>
      </c>
      <c r="E54" s="118">
        <f t="shared" si="28"/>
        <v>9.6948050183038106E-2</v>
      </c>
      <c r="F54" s="118">
        <f t="shared" si="28"/>
        <v>0.13478024101292743</v>
      </c>
      <c r="G54" s="118">
        <f t="shared" si="28"/>
        <v>0.17641558230081264</v>
      </c>
      <c r="H54" s="118">
        <f t="shared" si="28"/>
        <v>0.22150500445838672</v>
      </c>
      <c r="I54" s="118">
        <f t="shared" si="28"/>
        <v>0.26977913784739954</v>
      </c>
      <c r="J54" s="118">
        <f t="shared" si="28"/>
        <v>0.32102200735110764</v>
      </c>
      <c r="K54" s="118">
        <f t="shared" si="28"/>
        <v>0.3750554771414471</v>
      </c>
      <c r="L54" s="118">
        <f t="shared" si="28"/>
        <v>0.43172938053367399</v>
      </c>
      <c r="M54" s="118">
        <f t="shared" si="28"/>
        <v>0.49091491377190233</v>
      </c>
      <c r="N54" s="118">
        <f t="shared" si="28"/>
        <v>0.55250002505332751</v>
      </c>
      <c r="O54" s="118">
        <f t="shared" si="28"/>
        <v>0.61638608531936279</v>
      </c>
      <c r="P54" s="118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25">
      <c r="A55" s="103">
        <v>2</v>
      </c>
      <c r="B55" s="118">
        <f t="shared" ref="B55:P55" si="29">VLOOKUP(B$52/9,$T$36:$W$50,4)</f>
        <v>6.4773557318540459E-3</v>
      </c>
      <c r="C55" s="118">
        <f t="shared" si="29"/>
        <v>1.8024657964459293E-2</v>
      </c>
      <c r="D55" s="118">
        <f t="shared" si="29"/>
        <v>3.279932422126635E-2</v>
      </c>
      <c r="E55" s="118">
        <f t="shared" si="29"/>
        <v>5.0157550115400476E-2</v>
      </c>
      <c r="F55" s="118">
        <f t="shared" si="29"/>
        <v>6.9730610160888259E-2</v>
      </c>
      <c r="G55" s="118">
        <f t="shared" si="29"/>
        <v>9.1271288011305476E-2</v>
      </c>
      <c r="H55" s="118">
        <f t="shared" si="29"/>
        <v>0.11459898719940789</v>
      </c>
      <c r="I55" s="118">
        <f t="shared" si="29"/>
        <v>0.13957434524080733</v>
      </c>
      <c r="J55" s="118">
        <f t="shared" si="29"/>
        <v>0.16608562411992447</v>
      </c>
      <c r="K55" s="118">
        <f t="shared" si="29"/>
        <v>0.19404066255340605</v>
      </c>
      <c r="L55" s="118">
        <f t="shared" si="29"/>
        <v>0.22336176952011766</v>
      </c>
      <c r="M55" s="118">
        <f t="shared" si="29"/>
        <v>0.25398230643549052</v>
      </c>
      <c r="N55" s="118">
        <f t="shared" si="29"/>
        <v>0.28584430159298613</v>
      </c>
      <c r="O55" s="118">
        <f t="shared" si="29"/>
        <v>0.31889672774719247</v>
      </c>
      <c r="P55" s="118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25">
      <c r="A56" s="103">
        <v>3</v>
      </c>
      <c r="B56" s="118">
        <f t="shared" ref="B56:P56" si="30">VLOOKUP(B$52/9,$T$52:$W$66,4)</f>
        <v>4.4053443849710293E-3</v>
      </c>
      <c r="C56" s="118">
        <f t="shared" si="30"/>
        <v>1.2258833549045429E-2</v>
      </c>
      <c r="D56" s="118">
        <f t="shared" si="30"/>
        <v>2.230730019634744E-2</v>
      </c>
      <c r="E56" s="118">
        <f t="shared" si="30"/>
        <v>3.4112883545695832E-2</v>
      </c>
      <c r="F56" s="118">
        <f t="shared" si="30"/>
        <v>4.7424808000308044E-2</v>
      </c>
      <c r="G56" s="118">
        <f t="shared" si="30"/>
        <v>6.2074938106662918E-2</v>
      </c>
      <c r="H56" s="118">
        <f t="shared" si="30"/>
        <v>7.7940447565595289E-2</v>
      </c>
      <c r="I56" s="118">
        <f t="shared" si="30"/>
        <v>9.4926553912857314E-2</v>
      </c>
      <c r="J56" s="118">
        <f>VLOOKUP(J$52/9,$T$52:$W$66,4)</f>
        <v>0.11295726248953294</v>
      </c>
      <c r="K56" s="118">
        <f t="shared" si="30"/>
        <v>0.13196989305866444</v>
      </c>
      <c r="L56" s="118">
        <f t="shared" si="30"/>
        <v>0.15191160682030233</v>
      </c>
      <c r="M56" s="118">
        <f t="shared" si="30"/>
        <v>0.1727370818982821</v>
      </c>
      <c r="N56" s="118">
        <f t="shared" si="30"/>
        <v>0.19440689088696808</v>
      </c>
      <c r="O56" s="118">
        <f t="shared" si="30"/>
        <v>0.21688632941032129</v>
      </c>
      <c r="P56" s="118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25">
      <c r="A57" s="103">
        <v>4</v>
      </c>
      <c r="B57" s="118">
        <f t="shared" ref="B57:P57" si="31">VLOOKUP(B$52/9,$T$68:$W$82,4)</f>
        <v>3.3511586269384017E-3</v>
      </c>
      <c r="C57" s="118">
        <f t="shared" si="31"/>
        <v>9.3253312826655776E-3</v>
      </c>
      <c r="D57" s="118">
        <f t="shared" si="31"/>
        <v>1.6969229863554931E-2</v>
      </c>
      <c r="E57" s="118">
        <f t="shared" si="31"/>
        <v>2.59497723660157E-2</v>
      </c>
      <c r="F57" s="118">
        <f t="shared" si="31"/>
        <v>3.6076193044820209E-2</v>
      </c>
      <c r="G57" s="118">
        <f t="shared" si="31"/>
        <v>4.7220590758463209E-2</v>
      </c>
      <c r="H57" s="118">
        <f t="shared" si="31"/>
        <v>5.9289531174440177E-2</v>
      </c>
      <c r="I57" s="118">
        <f t="shared" si="31"/>
        <v>7.2210912989200293E-2</v>
      </c>
      <c r="J57" s="118">
        <f t="shared" si="31"/>
        <v>8.5926926838804499E-2</v>
      </c>
      <c r="K57" s="118">
        <f t="shared" si="31"/>
        <v>0.10038989167985103</v>
      </c>
      <c r="L57" s="118">
        <f t="shared" si="31"/>
        <v>0.1155596128794545</v>
      </c>
      <c r="M57" s="118">
        <f t="shared" si="31"/>
        <v>0.1314016139510964</v>
      </c>
      <c r="N57" s="118">
        <f>VLOOKUP(N$52/9,$T$68:$W$82,4)</f>
        <v>0.14788590234958895</v>
      </c>
      <c r="O57" s="118">
        <f t="shared" si="31"/>
        <v>0.16498607835246051</v>
      </c>
      <c r="P57" s="118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25">
      <c r="A58" s="103">
        <v>5</v>
      </c>
      <c r="B58" s="118">
        <f t="shared" ref="B58:P58" si="32">VLOOKUP(B$52/9,$T$84:$W$98,4)</f>
        <v>2.7105553202885191E-3</v>
      </c>
      <c r="C58" s="118">
        <f t="shared" si="32"/>
        <v>7.5427125766275348E-3</v>
      </c>
      <c r="D58" s="118">
        <f t="shared" si="32"/>
        <v>1.3725413031217607E-2</v>
      </c>
      <c r="E58" s="118">
        <f t="shared" si="32"/>
        <v>2.0989246221161571E-2</v>
      </c>
      <c r="F58" s="118">
        <f t="shared" si="32"/>
        <v>2.9179912943342306E-2</v>
      </c>
      <c r="G58" s="118">
        <f t="shared" si="32"/>
        <v>3.8193961479064301E-2</v>
      </c>
      <c r="H58" s="118">
        <f t="shared" si="32"/>
        <v>4.7955818286379445E-2</v>
      </c>
      <c r="I58" s="118">
        <f t="shared" si="32"/>
        <v>5.8407164857065416E-2</v>
      </c>
      <c r="J58" s="118">
        <f t="shared" si="32"/>
        <v>6.9501242593147189E-2</v>
      </c>
      <c r="K58" s="118">
        <f t="shared" si="32"/>
        <v>8.1199485100055854E-2</v>
      </c>
      <c r="L58" s="118">
        <f t="shared" si="32"/>
        <v>9.3469381300834681E-2</v>
      </c>
      <c r="M58" s="118">
        <f t="shared" si="32"/>
        <v>0.10628304519116076</v>
      </c>
      <c r="N58" s="118">
        <f t="shared" si="32"/>
        <v>0.11961621756340539</v>
      </c>
      <c r="O58" s="118">
        <f t="shared" si="32"/>
        <v>0.13344754523314317</v>
      </c>
      <c r="P58" s="118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25">
      <c r="A59" s="103">
        <v>6</v>
      </c>
      <c r="B59" s="118">
        <f t="shared" ref="B59:P59" si="33">VLOOKUP(B$52/9,$T$100:$W$114,4)</f>
        <v>2.2791720034349011E-3</v>
      </c>
      <c r="C59" s="118">
        <f t="shared" si="33"/>
        <v>6.3422942176940816E-3</v>
      </c>
      <c r="D59" s="118">
        <f t="shared" si="33"/>
        <v>1.1541021458658858E-2</v>
      </c>
      <c r="E59" s="118">
        <f t="shared" si="33"/>
        <v>1.7648819783313341E-2</v>
      </c>
      <c r="F59" s="118">
        <f t="shared" si="33"/>
        <v>2.4535946617778085E-2</v>
      </c>
      <c r="G59" s="118">
        <f t="shared" si="33"/>
        <v>3.2115414524758162E-2</v>
      </c>
      <c r="H59" s="118">
        <f t="shared" si="33"/>
        <v>4.0323677447945738E-2</v>
      </c>
      <c r="I59" s="118">
        <f t="shared" si="33"/>
        <v>4.9111698236087159E-2</v>
      </c>
      <c r="J59" s="118">
        <f t="shared" si="33"/>
        <v>5.8440159895123356E-2</v>
      </c>
      <c r="K59" s="118">
        <f t="shared" si="33"/>
        <v>6.8276633849951293E-2</v>
      </c>
      <c r="L59" s="118">
        <f t="shared" si="33"/>
        <v>7.8593783142772475E-2</v>
      </c>
      <c r="M59" s="118">
        <f t="shared" si="33"/>
        <v>8.9368159810778405E-2</v>
      </c>
      <c r="N59" s="118">
        <f t="shared" si="33"/>
        <v>0.10057936548525141</v>
      </c>
      <c r="O59" s="118">
        <f t="shared" si="33"/>
        <v>0.11220944532875939</v>
      </c>
      <c r="P59" s="118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25">
      <c r="A60" s="103">
        <v>7</v>
      </c>
      <c r="B60" s="118">
        <f t="shared" ref="B60:P60" si="34">VLOOKUP(B$52/9,$T$116:$W$130,4)</f>
        <v>1.9684653569230961E-3</v>
      </c>
      <c r="C60" s="118">
        <f t="shared" si="34"/>
        <v>5.4776850681427999E-3</v>
      </c>
      <c r="D60" s="118">
        <f t="shared" si="34"/>
        <v>9.9676991866510991E-3</v>
      </c>
      <c r="E60" s="118">
        <f t="shared" si="34"/>
        <v>1.5242855862424421E-2</v>
      </c>
      <c r="F60" s="118">
        <f t="shared" si="34"/>
        <v>2.1191099593896923E-2</v>
      </c>
      <c r="G60" s="118">
        <f t="shared" si="34"/>
        <v>2.7737301449796845E-2</v>
      </c>
      <c r="H60" s="118">
        <f t="shared" si="34"/>
        <v>3.4826578248765984E-2</v>
      </c>
      <c r="I60" s="118">
        <f t="shared" si="34"/>
        <v>4.2416577797420266E-2</v>
      </c>
      <c r="J60" s="118">
        <f t="shared" si="34"/>
        <v>5.0473342965439143E-2</v>
      </c>
      <c r="K60" s="118">
        <f t="shared" si="34"/>
        <v>5.8968865982207443E-2</v>
      </c>
      <c r="L60" s="118">
        <f t="shared" si="34"/>
        <v>6.7879536582984762E-2</v>
      </c>
      <c r="M60" s="118">
        <f t="shared" si="34"/>
        <v>7.7185103333298671E-2</v>
      </c>
      <c r="N60" s="118">
        <f t="shared" si="34"/>
        <v>8.6867948658829228E-2</v>
      </c>
      <c r="O60" s="118">
        <f t="shared" si="34"/>
        <v>9.6912565403722895E-2</v>
      </c>
      <c r="P60" s="118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25">
      <c r="A61" s="103">
        <v>8</v>
      </c>
      <c r="B61" s="118">
        <f t="shared" ref="B61:P61" si="35">VLOOKUP(B$52/9,$T$132:$W$146,4)</f>
        <v>1.7337729480682992E-3</v>
      </c>
      <c r="C61" s="118">
        <f t="shared" si="35"/>
        <v>4.8246021479537143E-3</v>
      </c>
      <c r="D61" s="118">
        <f t="shared" si="35"/>
        <v>8.779289482295536E-3</v>
      </c>
      <c r="E61" s="118">
        <f t="shared" si="35"/>
        <v>1.3425509904266109E-2</v>
      </c>
      <c r="F61" s="118">
        <f t="shared" si="35"/>
        <v>1.8664567850535448E-2</v>
      </c>
      <c r="G61" s="118">
        <f t="shared" si="35"/>
        <v>2.4430291717829896E-2</v>
      </c>
      <c r="H61" s="118">
        <f t="shared" si="35"/>
        <v>3.0674341831382953E-2</v>
      </c>
      <c r="I61" s="118">
        <f t="shared" si="35"/>
        <v>3.7359415483822905E-2</v>
      </c>
      <c r="J61" s="118">
        <f t="shared" si="35"/>
        <v>4.4455604120378016E-2</v>
      </c>
      <c r="K61" s="118">
        <f t="shared" si="35"/>
        <v>5.193823922714353E-2</v>
      </c>
      <c r="L61" s="118">
        <f t="shared" si="35"/>
        <v>5.9786525498700595E-2</v>
      </c>
      <c r="M61" s="118">
        <f t="shared" si="35"/>
        <v>6.7982625999730859E-2</v>
      </c>
      <c r="N61" s="118">
        <f t="shared" si="35"/>
        <v>7.65110236302462E-2</v>
      </c>
      <c r="O61" s="118">
        <f t="shared" si="35"/>
        <v>8.5358060091803217E-2</v>
      </c>
      <c r="P61" s="118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25">
      <c r="A62" s="103">
        <v>9</v>
      </c>
      <c r="B62" s="118">
        <f t="shared" ref="B62:P62" si="36">VLOOKUP(B$52/9,$T$148:$W$162,4)</f>
        <v>1.5500982196080732E-3</v>
      </c>
      <c r="C62" s="118">
        <f t="shared" si="36"/>
        <v>4.3134870734906237E-3</v>
      </c>
      <c r="D62" s="118">
        <f t="shared" si="36"/>
        <v>7.8492175178373463E-3</v>
      </c>
      <c r="E62" s="118">
        <f t="shared" si="36"/>
        <v>1.200322050423043E-2</v>
      </c>
      <c r="F62" s="118">
        <f t="shared" si="36"/>
        <v>1.6687256210280516E-2</v>
      </c>
      <c r="G62" s="118">
        <f t="shared" si="36"/>
        <v>2.1842163207417963E-2</v>
      </c>
      <c r="H62" s="118">
        <f t="shared" si="36"/>
        <v>2.7424722893186513E-2</v>
      </c>
      <c r="I62" s="118">
        <f t="shared" si="36"/>
        <v>3.3401584383695712E-2</v>
      </c>
      <c r="J62" s="118">
        <f t="shared" si="36"/>
        <v>3.9746007616151054E-2</v>
      </c>
      <c r="K62" s="118">
        <f t="shared" si="36"/>
        <v>4.6435937442254889E-2</v>
      </c>
      <c r="L62" s="118">
        <f t="shared" si="36"/>
        <v>5.3452781597119303E-2</v>
      </c>
      <c r="M62" s="118">
        <f t="shared" si="36"/>
        <v>6.0780592778237899E-2</v>
      </c>
      <c r="N62" s="118">
        <f t="shared" si="36"/>
        <v>6.8405497756655401E-2</v>
      </c>
      <c r="O62" s="118">
        <f t="shared" si="36"/>
        <v>7.6315285184788112E-2</v>
      </c>
      <c r="P62" s="118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25">
      <c r="A63" s="103">
        <v>10</v>
      </c>
      <c r="B63" s="118">
        <f t="shared" ref="B63:P63" si="37">VLOOKUP(B$52/9,$T$164:$W$178,4)</f>
        <v>1.4023470720788476E-3</v>
      </c>
      <c r="C63" s="118">
        <f t="shared" si="37"/>
        <v>3.9023372141469615E-3</v>
      </c>
      <c r="D63" s="118">
        <f t="shared" si="37"/>
        <v>7.1010514462962826E-3</v>
      </c>
      <c r="E63" s="118">
        <f t="shared" si="37"/>
        <v>1.0859106162885799E-2</v>
      </c>
      <c r="F63" s="118">
        <f t="shared" si="37"/>
        <v>1.5096672321469563E-2</v>
      </c>
      <c r="G63" s="118">
        <f t="shared" si="37"/>
        <v>1.9760227599987485E-2</v>
      </c>
      <c r="H63" s="118">
        <f t="shared" si="37"/>
        <v>2.4810672875656754E-2</v>
      </c>
      <c r="I63" s="118">
        <f t="shared" si="37"/>
        <v>3.021783618015729E-2</v>
      </c>
      <c r="J63" s="118">
        <f t="shared" si="37"/>
        <v>3.5957526240773134E-2</v>
      </c>
      <c r="K63" s="118">
        <f t="shared" si="37"/>
        <v>4.2009790145973745E-2</v>
      </c>
      <c r="L63" s="118">
        <f t="shared" si="37"/>
        <v>4.8357807795007389E-2</v>
      </c>
      <c r="M63" s="118">
        <f t="shared" si="37"/>
        <v>5.4987151938881401E-2</v>
      </c>
      <c r="N63" s="118">
        <f t="shared" si="37"/>
        <v>6.1885271707102771E-2</v>
      </c>
      <c r="O63" s="118">
        <f t="shared" si="37"/>
        <v>6.9041119704536483E-2</v>
      </c>
      <c r="P63" s="118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25">
      <c r="A64" s="103">
        <v>11</v>
      </c>
      <c r="B64" s="118">
        <f t="shared" ref="B64:P64" si="38">VLOOKUP(B$52/9,$T$180:$W$194,4)</f>
        <v>1.2808598830970311E-3</v>
      </c>
      <c r="C64" s="118">
        <f t="shared" si="38"/>
        <v>3.5642725595083189E-3</v>
      </c>
      <c r="D64" s="118">
        <f t="shared" si="38"/>
        <v>6.4858779302658003E-3</v>
      </c>
      <c r="E64" s="118">
        <f t="shared" si="38"/>
        <v>9.918367376567757E-3</v>
      </c>
      <c r="F64" s="118">
        <f t="shared" si="38"/>
        <v>1.3788827551917527E-2</v>
      </c>
      <c r="G64" s="118">
        <f t="shared" si="38"/>
        <v>1.804837284408551E-2</v>
      </c>
      <c r="H64" s="118">
        <f t="shared" si="38"/>
        <v>2.2661291339213924E-2</v>
      </c>
      <c r="I64" s="118">
        <f t="shared" si="38"/>
        <v>2.7600024906662555E-2</v>
      </c>
      <c r="J64" s="118">
        <f t="shared" si="38"/>
        <v>3.2842477995793581E-2</v>
      </c>
      <c r="K64" s="118">
        <f t="shared" si="38"/>
        <v>3.8370426242297112E-2</v>
      </c>
      <c r="L64" s="118">
        <f t="shared" si="38"/>
        <v>4.4168506693084378E-2</v>
      </c>
      <c r="M64" s="118">
        <f t="shared" si="38"/>
        <v>5.0223541950900376E-2</v>
      </c>
      <c r="N64" s="118">
        <f t="shared" si="38"/>
        <v>5.6524068443828769E-2</v>
      </c>
      <c r="O64" s="118">
        <f t="shared" si="38"/>
        <v>6.3059995827244544E-2</v>
      </c>
      <c r="P64" s="118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25">
      <c r="A65" s="103">
        <v>12</v>
      </c>
      <c r="B65" s="118">
        <f t="shared" ref="B65:P65" si="39">VLOOKUP(B$52/9,$T$196:$W$210,4)</f>
        <v>1.1791643438735658E-3</v>
      </c>
      <c r="C65" s="118">
        <f t="shared" si="39"/>
        <v>3.2812824958315875E-3</v>
      </c>
      <c r="D65" s="118">
        <f t="shared" si="39"/>
        <v>5.9709232016805598E-3</v>
      </c>
      <c r="E65" s="118">
        <f t="shared" si="39"/>
        <v>9.130885676276207E-3</v>
      </c>
      <c r="F65" s="118">
        <f t="shared" si="39"/>
        <v>1.2694045623264212E-2</v>
      </c>
      <c r="G65" s="118">
        <f t="shared" si="39"/>
        <v>1.6615398767289961E-2</v>
      </c>
      <c r="H65" s="118">
        <f t="shared" si="39"/>
        <v>2.0862068588424699E-2</v>
      </c>
      <c r="I65" s="118">
        <f t="shared" si="39"/>
        <v>2.5408684969715298E-2</v>
      </c>
      <c r="J65" s="118">
        <f t="shared" si="39"/>
        <v>3.0234906665554638E-2</v>
      </c>
      <c r="K65" s="118">
        <f t="shared" si="39"/>
        <v>3.5323956258781354E-2</v>
      </c>
      <c r="L65" s="118">
        <f t="shared" si="39"/>
        <v>4.0661690557983222E-2</v>
      </c>
      <c r="M65" s="118">
        <f t="shared" si="39"/>
        <v>4.6235978402528848E-2</v>
      </c>
      <c r="N65" s="118">
        <f t="shared" si="39"/>
        <v>5.2036266385729828E-2</v>
      </c>
      <c r="O65" s="118">
        <f t="shared" si="39"/>
        <v>5.8053265299019156E-2</v>
      </c>
      <c r="P65" s="118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25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25">
      <c r="T67">
        <v>0</v>
      </c>
      <c r="U67">
        <v>4</v>
      </c>
      <c r="V67">
        <v>0</v>
      </c>
      <c r="W67">
        <v>0</v>
      </c>
    </row>
    <row r="68" spans="1:23" x14ac:dyDescent="0.25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25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25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25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25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25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25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25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25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25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25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25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25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25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25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25">
      <c r="T83">
        <v>0</v>
      </c>
      <c r="U83">
        <v>5</v>
      </c>
      <c r="V83">
        <v>0</v>
      </c>
      <c r="W83">
        <v>0</v>
      </c>
    </row>
    <row r="84" spans="20:23" x14ac:dyDescent="0.25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25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25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25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25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25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25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25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25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25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25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25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25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25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25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25">
      <c r="T99">
        <v>0</v>
      </c>
      <c r="U99">
        <v>6</v>
      </c>
      <c r="V99">
        <v>0</v>
      </c>
      <c r="W99">
        <v>0</v>
      </c>
    </row>
    <row r="100" spans="20:23" x14ac:dyDescent="0.25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25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25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25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25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25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25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25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25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25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25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25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25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25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25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25">
      <c r="T115">
        <v>0</v>
      </c>
      <c r="U115">
        <v>7</v>
      </c>
      <c r="V115">
        <v>0</v>
      </c>
      <c r="W115">
        <v>0</v>
      </c>
    </row>
    <row r="116" spans="20:23" x14ac:dyDescent="0.25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25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25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25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25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25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25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25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25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25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25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25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25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25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25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25">
      <c r="T131">
        <v>0</v>
      </c>
      <c r="U131">
        <v>8</v>
      </c>
      <c r="V131">
        <v>0</v>
      </c>
      <c r="W131">
        <v>0</v>
      </c>
    </row>
    <row r="132" spans="20:23" x14ac:dyDescent="0.25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25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25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25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25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25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25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25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25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25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25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25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25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25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25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25">
      <c r="T147">
        <v>0</v>
      </c>
      <c r="U147">
        <v>9</v>
      </c>
      <c r="V147">
        <v>0</v>
      </c>
      <c r="W147">
        <v>0</v>
      </c>
    </row>
    <row r="148" spans="20:23" x14ac:dyDescent="0.25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25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25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25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25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25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25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25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25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25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25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25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25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25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25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25">
      <c r="T163">
        <v>0</v>
      </c>
      <c r="U163">
        <v>10</v>
      </c>
      <c r="V163">
        <v>0</v>
      </c>
      <c r="W163">
        <v>0</v>
      </c>
    </row>
    <row r="164" spans="20:23" x14ac:dyDescent="0.25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25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25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25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25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25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25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25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25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25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25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25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25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25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25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25">
      <c r="T179">
        <v>0</v>
      </c>
      <c r="U179">
        <v>11</v>
      </c>
      <c r="V179">
        <v>0</v>
      </c>
      <c r="W179">
        <v>0</v>
      </c>
    </row>
    <row r="180" spans="20:23" x14ac:dyDescent="0.25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25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25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25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25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25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25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25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25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25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25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25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25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25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25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25">
      <c r="T195">
        <v>0</v>
      </c>
      <c r="U195">
        <v>12</v>
      </c>
      <c r="V195">
        <v>0</v>
      </c>
      <c r="W195">
        <v>0</v>
      </c>
    </row>
    <row r="196" spans="20:23" x14ac:dyDescent="0.25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25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25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25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25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25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25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25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25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25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25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25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25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25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25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topLeftCell="A10" zoomScale="80" zoomScaleNormal="80" workbookViewId="0">
      <selection activeCell="C27" sqref="C27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5.425781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25">
      <c r="B3" t="s">
        <v>213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25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174</v>
      </c>
    </row>
    <row r="8" spans="1:17" x14ac:dyDescent="0.25">
      <c r="A8" t="s">
        <v>184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174</v>
      </c>
      <c r="N10">
        <v>1</v>
      </c>
    </row>
    <row r="12" spans="1:17" x14ac:dyDescent="0.25">
      <c r="A12" t="s">
        <v>157</v>
      </c>
      <c r="B12" t="s">
        <v>75</v>
      </c>
      <c r="C12" s="123">
        <v>0</v>
      </c>
      <c r="D12" s="123">
        <f>IF(C14&gt;='Input params'!$D$4,0,C13+C12)</f>
        <v>5.8193229362106969E-2</v>
      </c>
      <c r="E12" s="123">
        <f>IF(D14&gt;='Input params'!$D$4,0,D13+D12)</f>
        <v>0.15628498881461134</v>
      </c>
      <c r="F12" s="123">
        <f>IF(E14&gt;='Input params'!$D$4,0,E13+E12)</f>
        <v>0.27854309026765833</v>
      </c>
      <c r="G12" s="123">
        <f>IF(F14&gt;='Input params'!$D$4,0,F13+F12)</f>
        <v>0.41972232846537527</v>
      </c>
      <c r="H12" s="123">
        <f>IF(G14&gt;='Input params'!$D$4,0,G13+G12)</f>
        <v>0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25">
      <c r="B13" t="s">
        <v>52</v>
      </c>
      <c r="C13" s="123">
        <f>C38*'Sensitivity analysis'!$C$17</f>
        <v>5.8193229362106969E-2</v>
      </c>
      <c r="D13" s="123">
        <f>D38*'Sensitivity analysis'!$C$17</f>
        <v>9.8091759452504354E-2</v>
      </c>
      <c r="E13" s="123">
        <f>E38*'Sensitivity analysis'!$C$17</f>
        <v>0.12225810145304702</v>
      </c>
      <c r="F13" s="123">
        <f>F38*'Sensitivity analysis'!$C$17</f>
        <v>0.14117923819771697</v>
      </c>
      <c r="G13" s="123">
        <f>G38*'Sensitivity analysis'!$C$17</f>
        <v>0.15715523866449521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25">
      <c r="B14" t="s">
        <v>53</v>
      </c>
      <c r="C14" s="123">
        <f>VLOOKUP(C12+C13,regression_corr!$A$1:B14,regression_corr!B16)*C39</f>
        <v>2.1740717831405919E-2</v>
      </c>
      <c r="D14" s="123">
        <f>VLOOKUP(D12+D13,regression_corr!$A$1:C14,regression_corr!C16)*D39</f>
        <v>0.10703495379030467</v>
      </c>
      <c r="E14" s="123">
        <f>VLOOKUP(E12+E13,regression_corr!$A$1:D14,regression_corr!D16)*E39</f>
        <v>0.24680284551088197</v>
      </c>
      <c r="F14" s="123">
        <f>VLOOKUP(F12+F13,regression_corr!$A$1:E14,regression_corr!E16)*F39</f>
        <v>0.43840962745426038</v>
      </c>
      <c r="G14" s="123">
        <f>VLOOKUP(G12+G13,regression_corr!$A$1:F14,regression_corr!F16)*G39</f>
        <v>0.67855539473640514</v>
      </c>
      <c r="H14" s="123">
        <f>VLOOKUP(H12+H13,regression_corr!$A$1:G14,regression_corr!G16)*H39</f>
        <v>0.96390180681933779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178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3">
        <f>C13*'Input params'!$D$19</f>
        <v>0.23277291744842787</v>
      </c>
      <c r="D21" s="63">
        <f>D13*'Input params'!$D$19</f>
        <v>0.39236703781001742</v>
      </c>
      <c r="E21" s="63">
        <f>E13*'Input params'!$D$19</f>
        <v>0.4890324058121881</v>
      </c>
      <c r="F21" s="63">
        <f>F13*'Input params'!$D$19</f>
        <v>0.56471695279086787</v>
      </c>
      <c r="G21" s="63">
        <f>G13*'Input params'!$D$19</f>
        <v>0.62862095465798085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25">
      <c r="B22" t="s">
        <v>78</v>
      </c>
      <c r="C22" s="63">
        <f>C21*'Input params'!$D$11/24</f>
        <v>0.10668758716386277</v>
      </c>
      <c r="D22" s="63">
        <f>D21*'Input params'!$D$11/24</f>
        <v>0.17983489232959129</v>
      </c>
      <c r="E22" s="63">
        <f>E21*'Input params'!$D$11/24</f>
        <v>0.22413985266391956</v>
      </c>
      <c r="F22" s="63">
        <f>F21*'Input params'!$D$11/24</f>
        <v>0.25882860336248109</v>
      </c>
      <c r="G22" s="63">
        <f>G21*'Input params'!$D$11/24</f>
        <v>0.28811793755157455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25">
      <c r="B23" t="s">
        <v>83</v>
      </c>
      <c r="C23" s="108">
        <f>C22*'Input params'!$D$52</f>
        <v>1119.1613243558936</v>
      </c>
      <c r="D23" s="108">
        <f>D22*'Input params'!$D$52</f>
        <v>1886.4824073287991</v>
      </c>
      <c r="E23" s="108">
        <f>E22*'Input params'!$D$52</f>
        <v>2351.2449856327294</v>
      </c>
      <c r="F23" s="108">
        <f>F22*'Input params'!$D$52</f>
        <v>2715.1327555606958</v>
      </c>
      <c r="G23" s="108">
        <f>G22*'Input params'!$D$52</f>
        <v>3022.3802143510211</v>
      </c>
      <c r="H23" s="108">
        <f>H22*'Input params'!$D$52</f>
        <v>3292.1739066013924</v>
      </c>
      <c r="I23" s="108">
        <f>I22*'Input params'!$D$52</f>
        <v>3534.8991953837435</v>
      </c>
      <c r="J23" s="108">
        <f>J22*'Input params'!$D$52</f>
        <v>3756.919749610182</v>
      </c>
      <c r="K23" s="108">
        <f>K22*'Input params'!$D$52</f>
        <v>3962.4635798548366</v>
      </c>
      <c r="L23" s="108">
        <f>L22*'Input params'!$D$52</f>
        <v>4154.505750960986</v>
      </c>
      <c r="M23" s="108">
        <f>M22*'Input params'!$D$52</f>
        <v>4335.2316792304482</v>
      </c>
      <c r="N23" s="108">
        <f>N22*'Input params'!$D$52</f>
        <v>4506.3013961617698</v>
      </c>
      <c r="O23" s="108">
        <f>O22*'Input params'!$D$52</f>
        <v>4669.0101699258903</v>
      </c>
      <c r="P23" s="108">
        <f>P22*'Input params'!$D$52</f>
        <v>4824.3911633064927</v>
      </c>
      <c r="Q23" s="108">
        <f>Q22*'Input params'!$D$52</f>
        <v>4973.2837794062825</v>
      </c>
    </row>
    <row r="25" spans="1:17" x14ac:dyDescent="0.25">
      <c r="A25" t="s">
        <v>79</v>
      </c>
      <c r="B25" t="s">
        <v>88</v>
      </c>
      <c r="C25" s="63">
        <f>C14*'Input params'!$D$18</f>
        <v>2.71758972892574E-2</v>
      </c>
      <c r="D25" s="63">
        <f>D14*'Input params'!$D$18</f>
        <v>0.13379369223788085</v>
      </c>
      <c r="E25" s="63">
        <f>E14*'Input params'!$D$18</f>
        <v>0.30850355688860248</v>
      </c>
      <c r="F25" s="63">
        <f>F14*'Input params'!$D$18</f>
        <v>0.54801203431782541</v>
      </c>
      <c r="G25" s="63">
        <f>G14*'Input params'!$D$18</f>
        <v>0.84819424342050642</v>
      </c>
      <c r="H25" s="63">
        <f>H14*'Input params'!$D$18</f>
        <v>1.2048772585241723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25">
      <c r="B26" t="s">
        <v>80</v>
      </c>
      <c r="C26" s="63">
        <f>C25*'Input params'!$D$7/365/24</f>
        <v>1.2455619590909642E-2</v>
      </c>
      <c r="D26" s="63">
        <f>D25*'Input params'!$D$7/365/24</f>
        <v>6.1322108942362043E-2</v>
      </c>
      <c r="E26" s="63">
        <f>E25*'Input params'!$D$7/365/24</f>
        <v>0.14139746357394281</v>
      </c>
      <c r="F26" s="63">
        <f>F25*'Input params'!$D$7/365/24</f>
        <v>0.25117218239566996</v>
      </c>
      <c r="G26" s="63">
        <f>G25*'Input params'!$D$7/365/24</f>
        <v>0.38875569490106548</v>
      </c>
      <c r="H26" s="63">
        <f>H25*'Input params'!$D$7/365/24</f>
        <v>0.55223541015691235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25">
      <c r="B27" t="s">
        <v>82</v>
      </c>
      <c r="C27" s="63">
        <f>C25*'Input params'!$D$9/365/24</f>
        <v>2.4345074654959751E-2</v>
      </c>
      <c r="D27" s="63">
        <f>D25*'Input params'!$D$9/365/24</f>
        <v>0.11985684929643492</v>
      </c>
      <c r="E27" s="63">
        <f>E25*'Input params'!$D$9/365/24</f>
        <v>0.27636776971270643</v>
      </c>
      <c r="F27" s="63">
        <f>F25*'Input params'!$D$9/365/24</f>
        <v>0.49092744740971866</v>
      </c>
      <c r="G27" s="63">
        <f>G25*'Input params'!$D$9/365/24</f>
        <v>0.75984067639753705</v>
      </c>
      <c r="H27" s="63">
        <f>H25*'Input params'!$D$9/365/24</f>
        <v>1.0793692107612378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25">
      <c r="B28" t="s">
        <v>81</v>
      </c>
      <c r="C28" s="63">
        <f>C25*'Input params'!$D$10/365/24</f>
        <v>2.4345074654959751E-2</v>
      </c>
      <c r="D28" s="63">
        <f>D25*'Input params'!$D$10/365/24</f>
        <v>0.11985684929643492</v>
      </c>
      <c r="E28" s="63">
        <f>E25*'Input params'!$D$10/365/24</f>
        <v>0.27636776971270643</v>
      </c>
      <c r="F28" s="63">
        <f>F25*'Input params'!$D$10/365/24</f>
        <v>0.49092744740971866</v>
      </c>
      <c r="G28" s="63">
        <f>G25*'Input params'!$D$10/365/24</f>
        <v>0.75984067639753705</v>
      </c>
      <c r="H28" s="63">
        <f>H25*'Input params'!$D$10/365/24</f>
        <v>1.0793692107612378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25">
      <c r="B29" t="s">
        <v>83</v>
      </c>
      <c r="C29" s="55">
        <f>C26*'Input params'!$D$52+'Input params'!$D$53*LCC_standard!C27+'Input params'!$D$54*LCC_standard!C28</f>
        <v>1471.4897776547728</v>
      </c>
      <c r="D29" s="55">
        <f>D26*'Input params'!$D$52+'Input params'!$D$53*LCC_standard!D27+'Input params'!$D$54*LCC_standard!D28</f>
        <v>7244.5096604245427</v>
      </c>
      <c r="E29" s="55">
        <f>E26*'Input params'!$D$52+'Input params'!$D$53*LCC_standard!E27+'Input params'!$D$54*LCC_standard!E28</f>
        <v>16704.501989384764</v>
      </c>
      <c r="F29" s="55">
        <f>F26*'Input params'!$D$52+'Input params'!$D$53*LCC_standard!F27+'Input params'!$D$54*LCC_standard!F28</f>
        <v>29673.136380642834</v>
      </c>
      <c r="G29" s="55">
        <f>G26*'Input params'!$D$52+'Input params'!$D$53*LCC_standard!G27+'Input params'!$D$54*LCC_standard!G28</f>
        <v>45927.063433238516</v>
      </c>
      <c r="H29" s="55">
        <f>H26*'Input params'!$D$52+'Input params'!$D$53*LCC_standard!H27+'Input params'!$D$54*LCC_standard!H28</f>
        <v>65240.332283264754</v>
      </c>
      <c r="I29" s="55">
        <f>I26*'Input params'!$D$52+'Input params'!$D$53*LCC_standard!I27+'Input params'!$D$54*LCC_standard!I28</f>
        <v>87385.896359003862</v>
      </c>
      <c r="J29" s="55">
        <f>J26*'Input params'!$D$52+'Input params'!$D$53*LCC_standard!J27+'Input params'!$D$54*LCC_standard!J28</f>
        <v>112136.8882317091</v>
      </c>
      <c r="K29" s="55">
        <f>K26*'Input params'!$D$52+'Input params'!$D$53*LCC_standard!K27+'Input params'!$D$54*LCC_standard!K28</f>
        <v>139268.05114827998</v>
      </c>
      <c r="L29" s="55">
        <f>L26*'Input params'!$D$52+'Input params'!$D$53*LCC_standard!L27+'Input params'!$D$54*LCC_standard!L28</f>
        <v>168557.17249601317</v>
      </c>
      <c r="M29" s="55">
        <f>M26*'Input params'!$D$52+'Input params'!$D$53*LCC_standard!M27+'Input params'!$D$54*LCC_standard!M28</f>
        <v>199786.42460284301</v>
      </c>
      <c r="N29" s="55">
        <f>N26*'Input params'!$D$52+'Input params'!$D$53*LCC_standard!N27+'Input params'!$D$54*LCC_standard!N28</f>
        <v>232743.56911714189</v>
      </c>
      <c r="O29" s="55">
        <f>O26*'Input params'!$D$52+'Input params'!$D$53*LCC_standard!O27+'Input params'!$D$54*LCC_standard!O28</f>
        <v>267223.00810655183</v>
      </c>
      <c r="P29" s="55">
        <f>P26*'Input params'!$D$52+'Input params'!$D$53*LCC_standard!P27+'Input params'!$D$54*LCC_standard!P28</f>
        <v>303026.67870702618</v>
      </c>
      <c r="Q29" s="55">
        <f>Q26*'Input params'!$D$52+'Input params'!$D$53*LCC_standard!Q27+'Input params'!$D$54*LCC_standard!Q28</f>
        <v>339964.7952062671</v>
      </c>
    </row>
    <row r="32" spans="1:17" x14ac:dyDescent="0.25">
      <c r="A32" t="s">
        <v>30</v>
      </c>
      <c r="B32" t="s">
        <v>89</v>
      </c>
      <c r="C32" s="62">
        <f>C14*'Input params'!$D$3</f>
        <v>7.4374995701239656E-3</v>
      </c>
      <c r="D32" s="62">
        <f>D14*'Input params'!$D$3</f>
        <v>3.6616657691663231E-2</v>
      </c>
      <c r="E32" s="62">
        <f>E14*'Input params'!$D$3</f>
        <v>8.4431253449272728E-2</v>
      </c>
      <c r="F32" s="62">
        <f>F14*'Input params'!$D$3</f>
        <v>0.14997993355210248</v>
      </c>
      <c r="G32" s="62">
        <f>G14*'Input params'!$D$3</f>
        <v>0.2321338005393242</v>
      </c>
      <c r="H32" s="62">
        <f>H14*'Input params'!$D$3</f>
        <v>0.32975080811289548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55.794250830733674</v>
      </c>
      <c r="D33" s="55">
        <f>D32*SUM('Input params'!$D$71:$D$73)</f>
        <v>274.68895487918928</v>
      </c>
      <c r="E33" s="55">
        <f>E32*SUM('Input params'!$D$71:$D$73)</f>
        <v>633.38202422557629</v>
      </c>
      <c r="F33" s="55">
        <f>F32*SUM('Input params'!$D$71:$D$73)</f>
        <v>1125.1117332223657</v>
      </c>
      <c r="G33" s="55">
        <f>G32*SUM('Input params'!$D$71:$D$73)</f>
        <v>1741.409377098852</v>
      </c>
      <c r="H33" s="55">
        <f>H32*SUM('Input params'!$D$71:$D$73)</f>
        <v>2473.7076118152117</v>
      </c>
      <c r="I33" s="55">
        <f>I32*SUM('Input params'!$D$71:$D$73)</f>
        <v>3313.3975475476473</v>
      </c>
      <c r="J33" s="55">
        <f>J32*SUM('Input params'!$D$71:$D$73)</f>
        <v>4251.8770870087474</v>
      </c>
      <c r="K33" s="55">
        <f>K32*SUM('Input params'!$D$71:$D$73)</f>
        <v>5280.6052046510304</v>
      </c>
      <c r="L33" s="55">
        <f>L32*SUM('Input params'!$D$71:$D$73)</f>
        <v>6391.1562991287083</v>
      </c>
      <c r="M33" s="55">
        <f>M32*SUM('Input params'!$D$71:$D$73)</f>
        <v>7575.2710322135008</v>
      </c>
      <c r="N33" s="55">
        <f>N32*SUM('Input params'!$D$71:$D$73)</f>
        <v>8824.9019950776801</v>
      </c>
      <c r="O33" s="55">
        <f>O32*SUM('Input params'!$D$71:$D$73)</f>
        <v>10132.253562646263</v>
      </c>
      <c r="P33" s="55">
        <f>P32*SUM('Input params'!$D$71:$D$73)</f>
        <v>11489.815815866688</v>
      </c>
      <c r="Q33" s="128">
        <f>Q32*SUM('Input params'!$D$71:$D$73)</f>
        <v>12890.392679171968</v>
      </c>
    </row>
    <row r="36" spans="1:17" ht="15.75" thickBot="1" x14ac:dyDescent="0.3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25">
      <c r="B37" s="6" t="s">
        <v>16</v>
      </c>
      <c r="C37" s="104">
        <v>9</v>
      </c>
      <c r="D37" s="104">
        <f t="shared" ref="D37:Q37" si="1">C37+9</f>
        <v>18</v>
      </c>
      <c r="E37" s="104">
        <f t="shared" si="1"/>
        <v>27</v>
      </c>
      <c r="F37" s="104">
        <f t="shared" si="1"/>
        <v>36</v>
      </c>
      <c r="G37" s="104">
        <f t="shared" si="1"/>
        <v>45</v>
      </c>
      <c r="H37" s="104">
        <f t="shared" si="1"/>
        <v>54</v>
      </c>
      <c r="I37" s="104">
        <f t="shared" si="1"/>
        <v>63</v>
      </c>
      <c r="J37" s="104">
        <f t="shared" si="1"/>
        <v>72</v>
      </c>
      <c r="K37" s="104">
        <f t="shared" si="1"/>
        <v>81</v>
      </c>
      <c r="L37" s="104">
        <f t="shared" si="1"/>
        <v>90</v>
      </c>
      <c r="M37" s="104">
        <f t="shared" si="1"/>
        <v>99</v>
      </c>
      <c r="N37" s="104">
        <f t="shared" si="1"/>
        <v>108</v>
      </c>
      <c r="O37" s="104">
        <f t="shared" si="1"/>
        <v>117</v>
      </c>
      <c r="P37" s="104">
        <f t="shared" si="1"/>
        <v>126</v>
      </c>
      <c r="Q37" s="104">
        <f t="shared" si="1"/>
        <v>135</v>
      </c>
    </row>
    <row r="38" spans="1:17" x14ac:dyDescent="0.25">
      <c r="B38" s="47" t="s">
        <v>211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25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25">
      <c r="C48" s="129"/>
    </row>
    <row r="49" spans="3:3" x14ac:dyDescent="0.25">
      <c r="C49" s="129"/>
    </row>
    <row r="50" spans="3:3" x14ac:dyDescent="0.25">
      <c r="C50" s="129"/>
    </row>
    <row r="51" spans="3:3" x14ac:dyDescent="0.25">
      <c r="C51" s="129"/>
    </row>
    <row r="52" spans="3:3" x14ac:dyDescent="0.25">
      <c r="C52" s="129"/>
    </row>
    <row r="53" spans="3:3" x14ac:dyDescent="0.25">
      <c r="C53" s="129"/>
    </row>
    <row r="54" spans="3:3" x14ac:dyDescent="0.25">
      <c r="C54" s="129"/>
    </row>
    <row r="55" spans="3:3" x14ac:dyDescent="0.25">
      <c r="C55" s="129"/>
    </row>
    <row r="56" spans="3:3" x14ac:dyDescent="0.25">
      <c r="C56" s="129"/>
    </row>
    <row r="57" spans="3:3" x14ac:dyDescent="0.25">
      <c r="C57" s="129"/>
    </row>
    <row r="58" spans="3:3" x14ac:dyDescent="0.25">
      <c r="C58" s="129"/>
    </row>
    <row r="59" spans="3:3" x14ac:dyDescent="0.25">
      <c r="C59" s="129"/>
    </row>
    <row r="60" spans="3:3" x14ac:dyDescent="0.25">
      <c r="C60" s="129"/>
    </row>
    <row r="61" spans="3:3" x14ac:dyDescent="0.25">
      <c r="C61" s="129"/>
    </row>
    <row r="62" spans="3:3" x14ac:dyDescent="0.25">
      <c r="C62" s="129"/>
    </row>
    <row r="63" spans="3:3" x14ac:dyDescent="0.25">
      <c r="C63" s="1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4.285156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25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174</v>
      </c>
    </row>
    <row r="8" spans="1:17" x14ac:dyDescent="0.25">
      <c r="A8" t="s">
        <v>184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174</v>
      </c>
      <c r="N10">
        <v>1</v>
      </c>
    </row>
    <row r="12" spans="1:17" x14ac:dyDescent="0.25">
      <c r="A12" t="s">
        <v>157</v>
      </c>
      <c r="B12" t="s">
        <v>75</v>
      </c>
      <c r="C12" s="66">
        <v>0</v>
      </c>
      <c r="D12" s="66">
        <f>IF(C14&gt;='Input params'!$D$4,C13,C13+C12+C14)</f>
        <v>0</v>
      </c>
      <c r="E12" s="66">
        <f>IF(D14&gt;='Input params'!$D$4,D13,D13+D12+D14)</f>
        <v>1</v>
      </c>
      <c r="F12" s="66">
        <f>IF(E14&gt;='Input params'!$D$4,E13,E13+E12+E14)</f>
        <v>1</v>
      </c>
      <c r="G12" s="66">
        <f>IF(F14&gt;='Input params'!$D$4,F13,F13+F12+F14)</f>
        <v>2</v>
      </c>
      <c r="H12" s="123">
        <f>IF(G14&gt;='Input params'!$D$4,0,G13+G12)</f>
        <v>2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25">
      <c r="B13" t="s">
        <v>52</v>
      </c>
      <c r="C13" s="66">
        <v>0</v>
      </c>
      <c r="D13" s="66">
        <v>1</v>
      </c>
      <c r="E13" s="66">
        <v>0</v>
      </c>
      <c r="F13" s="66">
        <v>1</v>
      </c>
      <c r="G13" s="66">
        <v>0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25">
      <c r="B14" t="s">
        <v>53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123">
        <f>VLOOKUP(H12+H13,regression_corr!$A$1:G14,regression_corr!G16)*H39</f>
        <v>0.89224789522001224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178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3">
        <f>C13*'Input params'!$D$19</f>
        <v>0</v>
      </c>
      <c r="D21" s="63">
        <f>D13*'Input params'!$D$19</f>
        <v>4</v>
      </c>
      <c r="E21" s="63">
        <f>E13*'Input params'!$D$19</f>
        <v>0</v>
      </c>
      <c r="F21" s="63">
        <f>F13*'Input params'!$D$19</f>
        <v>4</v>
      </c>
      <c r="G21" s="63">
        <f>G13*'Input params'!$D$19</f>
        <v>0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25">
      <c r="B22" t="s">
        <v>78</v>
      </c>
      <c r="C22" s="63">
        <f>C21*'Input params'!$D$11/24</f>
        <v>0</v>
      </c>
      <c r="D22" s="63">
        <f>D21*'Input params'!$D$11/24</f>
        <v>1.8333333333333333</v>
      </c>
      <c r="E22" s="63">
        <f>E21*'Input params'!$D$11/24</f>
        <v>0</v>
      </c>
      <c r="F22" s="63">
        <f>F21*'Input params'!$D$11/24</f>
        <v>1.8333333333333333</v>
      </c>
      <c r="G22" s="63">
        <f>G21*'Input params'!$D$11/24</f>
        <v>0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25">
      <c r="B23" t="s">
        <v>83</v>
      </c>
      <c r="C23" s="108">
        <f>C22*'Input params'!$D$52</f>
        <v>0</v>
      </c>
      <c r="D23" s="108">
        <f>D22*'Input params'!$D$52</f>
        <v>19231.813333333332</v>
      </c>
      <c r="E23" s="108">
        <f>E22*'Input params'!$D$52</f>
        <v>0</v>
      </c>
      <c r="F23" s="108">
        <f>F22*'Input params'!$D$52</f>
        <v>19231.813333333332</v>
      </c>
      <c r="G23" s="108">
        <f>G22*'Input params'!$D$52</f>
        <v>0</v>
      </c>
      <c r="H23" s="108">
        <f>H22*'Input params'!$D$52</f>
        <v>3292.1739066013924</v>
      </c>
      <c r="I23" s="108">
        <f>I22*'Input params'!$D$52</f>
        <v>3534.8991953837435</v>
      </c>
      <c r="J23" s="108">
        <f>J22*'Input params'!$D$52</f>
        <v>3756.919749610182</v>
      </c>
      <c r="K23" s="108">
        <f>K22*'Input params'!$D$52</f>
        <v>3962.4635798548366</v>
      </c>
      <c r="L23" s="108">
        <f>L22*'Input params'!$D$52</f>
        <v>4154.505750960986</v>
      </c>
      <c r="M23" s="108">
        <f>M22*'Input params'!$D$52</f>
        <v>4335.2316792304482</v>
      </c>
      <c r="N23" s="108">
        <f>N22*'Input params'!$D$52</f>
        <v>4506.3013961617698</v>
      </c>
      <c r="O23" s="108">
        <f>O22*'Input params'!$D$52</f>
        <v>4669.0101699258903</v>
      </c>
      <c r="P23" s="108">
        <f>P22*'Input params'!$D$52</f>
        <v>4824.3911633064927</v>
      </c>
      <c r="Q23" s="108">
        <f>Q22*'Input params'!$D$52</f>
        <v>4973.2837794062825</v>
      </c>
    </row>
    <row r="25" spans="1:17" x14ac:dyDescent="0.25">
      <c r="A25" t="s">
        <v>79</v>
      </c>
      <c r="B25" t="s">
        <v>88</v>
      </c>
      <c r="C25" s="63">
        <f>C14*'Input params'!$D$18</f>
        <v>0</v>
      </c>
      <c r="D25" s="63">
        <f>D14*'Input params'!$D$18</f>
        <v>0</v>
      </c>
      <c r="E25" s="63">
        <f>E14*'Input params'!$D$18</f>
        <v>0</v>
      </c>
      <c r="F25" s="63">
        <f>F14*'Input params'!$D$18</f>
        <v>0</v>
      </c>
      <c r="G25" s="63">
        <f>G14*'Input params'!$D$18</f>
        <v>0</v>
      </c>
      <c r="H25" s="63">
        <f>H14*'Input params'!$D$18</f>
        <v>1.1153098690250154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25">
      <c r="B26" t="s">
        <v>80</v>
      </c>
      <c r="C26" s="63">
        <f>C25*'Input params'!$D$7/365/24</f>
        <v>0</v>
      </c>
      <c r="D26" s="63">
        <f>D25*'Input params'!$D$7/365/24</f>
        <v>0</v>
      </c>
      <c r="E26" s="63">
        <f>E25*'Input params'!$D$7/365/24</f>
        <v>0</v>
      </c>
      <c r="F26" s="63">
        <f>F25*'Input params'!$D$7/365/24</f>
        <v>0</v>
      </c>
      <c r="G26" s="63">
        <f>G25*'Input params'!$D$7/365/24</f>
        <v>0</v>
      </c>
      <c r="H26" s="63">
        <f>H25*'Input params'!$D$7/365/24</f>
        <v>0.51118368996979868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25">
      <c r="B27" t="s">
        <v>82</v>
      </c>
      <c r="C27" s="63">
        <f>C25*'Input params'!$D$9/365/24</f>
        <v>0</v>
      </c>
      <c r="D27" s="63">
        <f>D25*'Input params'!$D$9/365/24</f>
        <v>0</v>
      </c>
      <c r="E27" s="63">
        <f>E25*'Input params'!$D$9/365/24</f>
        <v>0</v>
      </c>
      <c r="F27" s="63">
        <f>F25*'Input params'!$D$9/365/24</f>
        <v>0</v>
      </c>
      <c r="G27" s="63">
        <f>G25*'Input params'!$D$9/365/24</f>
        <v>0</v>
      </c>
      <c r="H27" s="63">
        <f>H25*'Input params'!$D$9/365/24</f>
        <v>0.99913175766824291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25">
      <c r="B28" t="s">
        <v>81</v>
      </c>
      <c r="C28" s="63">
        <f>C25*'Input params'!$D$10/365/24</f>
        <v>0</v>
      </c>
      <c r="D28" s="63">
        <f>D25*'Input params'!$D$10/365/24</f>
        <v>0</v>
      </c>
      <c r="E28" s="63">
        <f>E25*'Input params'!$D$10/365/24</f>
        <v>0</v>
      </c>
      <c r="F28" s="63">
        <f>F25*'Input params'!$D$10/365/24</f>
        <v>0</v>
      </c>
      <c r="G28" s="63">
        <f>G25*'Input params'!$D$10/365/24</f>
        <v>0</v>
      </c>
      <c r="H28" s="63">
        <f>H25*'Input params'!$D$10/365/24</f>
        <v>0.99913175766824291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25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60390.538487814534</v>
      </c>
      <c r="I29" s="55">
        <f>I26*'Input params'!$D$52+'Input params'!$D$53*LCC_current_2018_standard_cross!I27+'Input params'!$D$54*LCC_current_2018_standard_cross!I28</f>
        <v>87385.896359003862</v>
      </c>
      <c r="J29" s="55">
        <f>J26*'Input params'!$D$52+'Input params'!$D$53*LCC_current_2018_standard_cross!J27+'Input params'!$D$54*LCC_current_2018_standard_cross!J28</f>
        <v>112136.8882317091</v>
      </c>
      <c r="K29" s="55">
        <f>K26*'Input params'!$D$52+'Input params'!$D$53*LCC_current_2018_standard_cross!K27+'Input params'!$D$54*LCC_current_2018_standard_cross!K28</f>
        <v>139268.05114827998</v>
      </c>
      <c r="L29" s="55">
        <f>L26*'Input params'!$D$52+'Input params'!$D$53*LCC_current_2018_standard_cross!L27+'Input params'!$D$54*LCC_current_2018_standard_cross!L28</f>
        <v>168557.17249601317</v>
      </c>
      <c r="M29" s="55">
        <f>M26*'Input params'!$D$52+'Input params'!$D$53*LCC_current_2018_standard_cross!M27+'Input params'!$D$54*LCC_current_2018_standard_cross!M28</f>
        <v>199786.42460284301</v>
      </c>
      <c r="N29" s="55">
        <f>N26*'Input params'!$D$52+'Input params'!$D$53*LCC_current_2018_standard_cross!N27+'Input params'!$D$54*LCC_current_2018_standard_cross!N28</f>
        <v>232743.56911714189</v>
      </c>
      <c r="O29" s="55">
        <f>O26*'Input params'!$D$52+'Input params'!$D$53*LCC_current_2018_standard_cross!O27+'Input params'!$D$54*LCC_current_2018_standard_cross!O28</f>
        <v>267223.00810655183</v>
      </c>
      <c r="P29" s="55">
        <f>P26*'Input params'!$D$52+'Input params'!$D$53*LCC_current_2018_standard_cross!P27+'Input params'!$D$54*LCC_current_2018_standard_cross!P28</f>
        <v>303026.67870702618</v>
      </c>
      <c r="Q29" s="55">
        <f>Q26*'Input params'!$D$52+'Input params'!$D$53*LCC_current_2018_standard_cross!Q27+'Input params'!$D$54*LCC_current_2018_standard_cross!Q28</f>
        <v>339964.7952062671</v>
      </c>
    </row>
    <row r="32" spans="1:17" x14ac:dyDescent="0.25">
      <c r="A32" t="s">
        <v>30</v>
      </c>
      <c r="B32" t="s">
        <v>89</v>
      </c>
      <c r="C32" s="62">
        <f>C14*'Input params'!$D$3</f>
        <v>0</v>
      </c>
      <c r="D32" s="62">
        <f>D14*'Input params'!$D$3</f>
        <v>0</v>
      </c>
      <c r="E32" s="62">
        <f>E14*'Input params'!$D$3</f>
        <v>0</v>
      </c>
      <c r="F32" s="62">
        <f>F14*'Input params'!$D$3</f>
        <v>0</v>
      </c>
      <c r="G32" s="62">
        <f>G14*'Input params'!$D$3</f>
        <v>0</v>
      </c>
      <c r="H32" s="62">
        <f>H14*'Input params'!$D$3</f>
        <v>0.30523800495476622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2289.8187288547429</v>
      </c>
      <c r="I33" s="55">
        <f>I32*SUM('Input params'!$D$71:$D$73)</f>
        <v>3313.3975475476473</v>
      </c>
      <c r="J33" s="55">
        <f>J32*SUM('Input params'!$D$71:$D$73)</f>
        <v>4251.8770870087474</v>
      </c>
      <c r="K33" s="55">
        <f>K32*SUM('Input params'!$D$71:$D$73)</f>
        <v>5280.6052046510304</v>
      </c>
      <c r="L33" s="55">
        <f>L32*SUM('Input params'!$D$71:$D$73)</f>
        <v>6391.1562991287083</v>
      </c>
      <c r="M33" s="55">
        <f>M32*SUM('Input params'!$D$71:$D$73)</f>
        <v>7575.2710322135008</v>
      </c>
      <c r="N33" s="55">
        <f>N32*SUM('Input params'!$D$71:$D$73)</f>
        <v>8824.9019950776801</v>
      </c>
      <c r="O33" s="55">
        <f>O32*SUM('Input params'!$D$71:$D$73)</f>
        <v>10132.253562646263</v>
      </c>
      <c r="P33" s="55">
        <f>P32*SUM('Input params'!$D$71:$D$73)</f>
        <v>11489.815815866688</v>
      </c>
      <c r="Q33" s="55">
        <f>Q32*SUM('Input params'!$D$71:$D$73)</f>
        <v>12890.392679171968</v>
      </c>
    </row>
    <row r="36" spans="1:17" ht="15.75" thickBot="1" x14ac:dyDescent="0.3">
      <c r="A36" t="s">
        <v>76</v>
      </c>
    </row>
    <row r="37" spans="1:17" x14ac:dyDescent="0.25">
      <c r="B37" s="6" t="s">
        <v>16</v>
      </c>
      <c r="C37" s="104">
        <v>9</v>
      </c>
      <c r="D37" s="104">
        <v>18</v>
      </c>
      <c r="E37" s="104">
        <v>27</v>
      </c>
      <c r="F37" s="104">
        <v>36</v>
      </c>
      <c r="G37" s="104">
        <v>45</v>
      </c>
      <c r="H37" s="104">
        <v>54</v>
      </c>
      <c r="I37" s="104">
        <v>63</v>
      </c>
      <c r="J37" s="104">
        <v>72</v>
      </c>
      <c r="K37" s="104">
        <v>81</v>
      </c>
      <c r="L37" s="104">
        <v>90</v>
      </c>
      <c r="M37" s="104">
        <v>99</v>
      </c>
      <c r="N37" s="104">
        <v>108</v>
      </c>
      <c r="O37" s="104">
        <v>117</v>
      </c>
      <c r="P37" s="104">
        <v>126</v>
      </c>
      <c r="Q37" s="104">
        <v>135</v>
      </c>
    </row>
    <row r="38" spans="1:17" x14ac:dyDescent="0.25">
      <c r="B38" s="47" t="s">
        <v>211</v>
      </c>
      <c r="C38" s="65">
        <v>7.7590972482809287E-2</v>
      </c>
      <c r="D38" s="65">
        <v>0.13078901260333914</v>
      </c>
      <c r="E38" s="65">
        <v>0.16301080193739603</v>
      </c>
      <c r="F38" s="65">
        <v>0.18823898426362262</v>
      </c>
      <c r="G38" s="65">
        <v>0.20954031821932695</v>
      </c>
      <c r="H38" s="65">
        <v>0.22824499867590176</v>
      </c>
      <c r="I38" s="65">
        <v>0.24507303838110905</v>
      </c>
      <c r="J38" s="65">
        <v>0.26046562775915616</v>
      </c>
      <c r="K38" s="65">
        <v>0.27471589296172017</v>
      </c>
      <c r="L38" s="65">
        <v>0.28803009395272738</v>
      </c>
      <c r="M38" s="65">
        <v>0.30055974470290536</v>
      </c>
      <c r="N38" s="65">
        <v>0.31241993448090666</v>
      </c>
      <c r="O38" s="65">
        <v>0.32370046367102079</v>
      </c>
      <c r="P38" s="65">
        <v>0.33447296100395407</v>
      </c>
      <c r="Q38" s="65">
        <v>0.34479562193520197</v>
      </c>
    </row>
    <row r="39" spans="1:17" x14ac:dyDescent="0.25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5" x14ac:dyDescent="0.25"/>
  <cols>
    <col min="1" max="1" width="29.7109375" customWidth="1"/>
    <col min="2" max="2" width="18.85546875" bestFit="1" customWidth="1"/>
    <col min="3" max="7" width="18.85546875" customWidth="1"/>
    <col min="8" max="13" width="18.85546875" bestFit="1" customWidth="1"/>
    <col min="14" max="16" width="9.42578125" bestFit="1" customWidth="1"/>
  </cols>
  <sheetData>
    <row r="1" spans="1:16" ht="15.75" thickBot="1" x14ac:dyDescent="0.3">
      <c r="A1" s="51" t="s">
        <v>190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.75" thickBot="1" x14ac:dyDescent="0.3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25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25">
      <c r="A4" s="54" t="s">
        <v>127</v>
      </c>
      <c r="B4" s="55">
        <f>LCC_standard!C23/(1+'Input params'!$D$2)^('Results - Standard'!B2-2014)</f>
        <v>1119.1613243558936</v>
      </c>
      <c r="C4" s="55">
        <f>LCC_standard!D23/(1+'Input params'!$D$2)^('Results - Standard'!C2-2014)</f>
        <v>1813.9253916623068</v>
      </c>
      <c r="D4" s="55">
        <f>LCC_standard!E23/(1+'Input params'!$D$2)^('Results - Standard'!D2-2014)</f>
        <v>2173.8581597935736</v>
      </c>
      <c r="E4" s="55">
        <f>LCC_standard!F23/(1+'Input params'!$D$2)^('Results - Standard'!E2-2014)</f>
        <v>2413.7431330015856</v>
      </c>
      <c r="F4" s="55">
        <f>LCC_standard!G23/(1+'Input params'!$D$2)^('Results - Standard'!F2-2014)</f>
        <v>2583.5432741125737</v>
      </c>
      <c r="G4" s="55">
        <f>LCC_standard!H23/(1+'Input params'!$D$2)^('Results - Standard'!G2-2014)</f>
        <v>2705.9269740015143</v>
      </c>
      <c r="H4" s="55">
        <f>LCC_standard!I23/(1+'Input params'!$D$2)^('Results - Standard'!H2-2014)</f>
        <v>2793.682181103577</v>
      </c>
      <c r="I4" s="55">
        <f>LCC_standard!J23/(1+'Input params'!$D$2)^('Results - Standard'!I2-2014)</f>
        <v>2854.9502404994123</v>
      </c>
      <c r="J4" s="55">
        <f>LCC_standard!K23/(1+'Input params'!$D$2)^('Results - Standard'!J2-2014)</f>
        <v>2895.333325477025</v>
      </c>
      <c r="K4" s="55">
        <f>LCC_standard!L23/(1+'Input params'!$D$2)^('Results - Standard'!K2-2014)</f>
        <v>2918.9006335111567</v>
      </c>
      <c r="L4" s="55">
        <f>LCC_standard!M23/(1+'Input params'!$D$2)^('Results - Standard'!L2-2014)</f>
        <v>2928.7271860465885</v>
      </c>
      <c r="M4" s="55">
        <f>LCC_standard!N23/(1+'Input params'!$D$2)^('Results - Standard'!M2-2014)</f>
        <v>2927.2074588236173</v>
      </c>
      <c r="N4" s="55">
        <f>LCC_standard!O23/(1+'Input params'!$D$2)^('Results - Standard'!N2-2014)</f>
        <v>2916.2499765950297</v>
      </c>
      <c r="O4" s="55">
        <f>LCC_standard!P23/(1+'Input params'!$D$2)^('Results - Standard'!O2-2014)</f>
        <v>2897.4043140590129</v>
      </c>
      <c r="P4" s="55">
        <f>LCC_standard!Q23/(1+'Input params'!$D$2)^('Results - Standard'!P2-2014)</f>
        <v>2871.9474624089862</v>
      </c>
    </row>
    <row r="5" spans="1:16" x14ac:dyDescent="0.25">
      <c r="A5" s="54" t="s">
        <v>128</v>
      </c>
      <c r="B5" s="55">
        <f>LCC_standard!C29/(1+'Input params'!$D$2)^('Results - Standard'!B2-2014)</f>
        <v>1471.4897776547728</v>
      </c>
      <c r="C5" s="55">
        <f>LCC_standard!D29/(1+'Input params'!$D$2)^('Results - Standard'!C2-2014)</f>
        <v>6965.8746734851375</v>
      </c>
      <c r="D5" s="55">
        <f>LCC_standard!E29/(1+'Input params'!$D$2)^('Results - Standard'!D2-2014)</f>
        <v>15444.251099653071</v>
      </c>
      <c r="E5" s="55">
        <f>LCC_standard!F29/(1+'Input params'!$D$2)^('Results - Standard'!E2-2014)</f>
        <v>26379.310192736928</v>
      </c>
      <c r="F5" s="55">
        <f>LCC_standard!G29/(1+'Input params'!$D$2)^('Results - Standard'!F2-2014)</f>
        <v>39258.646304420348</v>
      </c>
      <c r="G5" s="55">
        <f>LCC_standard!H29/(1+'Input params'!$D$2)^('Results - Standard'!G2-2014)</f>
        <v>53622.79755760252</v>
      </c>
      <c r="H5" s="55">
        <f>LCC_standard!I29/(1+'Input params'!$D$2)^('Results - Standard'!H2-2014)</f>
        <v>69062.343236469809</v>
      </c>
      <c r="I5" s="55">
        <f>LCC_standard!J29/(1+'Input params'!$D$2)^('Results - Standard'!I2-2014)</f>
        <v>85214.818884324559</v>
      </c>
      <c r="J5" s="55">
        <f>LCC_standard!K29/(1+'Input params'!$D$2)^('Results - Standard'!J2-2014)</f>
        <v>101761.80084376346</v>
      </c>
      <c r="K5" s="55">
        <f>LCC_standard!L29/(1+'Input params'!$D$2)^('Results - Standard'!K2-2014)</f>
        <v>118426.03358237172</v>
      </c>
      <c r="L5" s="55">
        <f>LCC_standard!M29/(1+'Input params'!$D$2)^('Results - Standard'!L2-2014)</f>
        <v>134968.5498794977</v>
      </c>
      <c r="M5" s="55">
        <f>LCC_standard!N29/(1+'Input params'!$D$2)^('Results - Standard'!M2-2014)</f>
        <v>151185.78444247285</v>
      </c>
      <c r="N5" s="55">
        <f>LCC_standard!O29/(1+'Input params'!$D$2)^('Results - Standard'!N2-2014)</f>
        <v>166906.7024432621</v>
      </c>
      <c r="O5" s="55">
        <f>LCC_standard!P29/(1+'Input params'!$D$2)^('Results - Standard'!O2-2014)</f>
        <v>181989.97063889893</v>
      </c>
      <c r="P5" s="55">
        <f>LCC_standard!Q29/(1+'Input params'!$D$2)^('Results - Standard'!P2-2014)</f>
        <v>196321.19826823732</v>
      </c>
    </row>
    <row r="6" spans="1:16" x14ac:dyDescent="0.25">
      <c r="A6" s="54" t="s">
        <v>30</v>
      </c>
      <c r="B6" s="55">
        <f>LCC_standard!C33/(1+'Input params'!$D$2)^('Results - Standard'!B2-2014)</f>
        <v>55.794250830733674</v>
      </c>
      <c r="C6" s="55">
        <f>LCC_standard!D33/(1+'Input params'!$D$2)^('Results - Standard'!C2-2014)</f>
        <v>264.12399507614356</v>
      </c>
      <c r="D6" s="55">
        <f>LCC_standard!E33/(1+'Input params'!$D$2)^('Results - Standard'!D2-2014)</f>
        <v>585.59728571151652</v>
      </c>
      <c r="E6" s="55">
        <f>LCC_standard!F33/(1+'Input params'!$D$2)^('Results - Standard'!E2-2014)</f>
        <v>1000.2202339326049</v>
      </c>
      <c r="F6" s="55">
        <f>LCC_standard!G33/(1+'Input params'!$D$2)^('Results - Standard'!F2-2014)</f>
        <v>1488.5640338425628</v>
      </c>
      <c r="G6" s="55">
        <f>LCC_standard!H33/(1+'Input params'!$D$2)^('Results - Standard'!G2-2014)</f>
        <v>2033.2073403478621</v>
      </c>
      <c r="H6" s="55">
        <f>LCC_standard!I33/(1+'Input params'!$D$2)^('Results - Standard'!H2-2014)</f>
        <v>2618.6262113455468</v>
      </c>
      <c r="I6" s="55">
        <f>LCC_standard!J33/(1+'Input params'!$D$2)^('Results - Standard'!I2-2014)</f>
        <v>3231.0771379636462</v>
      </c>
      <c r="J6" s="55">
        <f>LCC_standard!K33/(1+'Input params'!$D$2)^('Results - Standard'!J2-2014)</f>
        <v>3858.4864995210037</v>
      </c>
      <c r="K6" s="55">
        <f>LCC_standard!L33/(1+'Input params'!$D$2)^('Results - Standard'!K2-2014)</f>
        <v>4490.3416407789182</v>
      </c>
      <c r="L6" s="55">
        <f>LCC_standard!M33/(1+'Input params'!$D$2)^('Results - Standard'!L2-2014)</f>
        <v>5117.581678507463</v>
      </c>
      <c r="M6" s="55">
        <f>LCC_standard!N33/(1+'Input params'!$D$2)^('Results - Standard'!M2-2014)</f>
        <v>5732.4880589171007</v>
      </c>
      <c r="N6" s="55">
        <f>LCC_standard!O33/(1+'Input params'!$D$2)^('Results - Standard'!N2-2014)</f>
        <v>6328.5756808259594</v>
      </c>
      <c r="O6" s="55">
        <f>LCC_standard!P33/(1+'Input params'!$D$2)^('Results - Standard'!O2-2014)</f>
        <v>6900.4856334699061</v>
      </c>
      <c r="P6" s="55">
        <f>LCC_standard!Q33/(1+'Input params'!$D$2)^('Results - Standard'!P2-2014)</f>
        <v>7443.880580010431</v>
      </c>
    </row>
    <row r="7" spans="1:16" ht="15.75" thickBot="1" x14ac:dyDescent="0.3">
      <c r="A7" s="54" t="s">
        <v>196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25">
      <c r="A8" s="52" t="s">
        <v>126</v>
      </c>
      <c r="B8" s="53">
        <f>SUM(B3:B7)</f>
        <v>363570.56975898799</v>
      </c>
      <c r="C8" s="53">
        <f>SUM(C3:C7)</f>
        <v>24784.120344484407</v>
      </c>
      <c r="D8" s="53">
        <f t="shared" ref="D8:P8" si="0">SUM(D3:D7)</f>
        <v>40212.27490336325</v>
      </c>
      <c r="E8" s="53">
        <f t="shared" si="0"/>
        <v>59443.279640953522</v>
      </c>
      <c r="F8" s="53">
        <f t="shared" si="0"/>
        <v>81769.358353345975</v>
      </c>
      <c r="G8" s="53">
        <f t="shared" si="0"/>
        <v>106481.5167342966</v>
      </c>
      <c r="H8" s="53">
        <f t="shared" si="0"/>
        <v>132923.06349543648</v>
      </c>
      <c r="I8" s="53">
        <f t="shared" si="0"/>
        <v>160501.91691716254</v>
      </c>
      <c r="J8" s="53">
        <f t="shared" si="0"/>
        <v>188692.70187754999</v>
      </c>
      <c r="K8" s="53">
        <f t="shared" si="0"/>
        <v>217035.22186367927</v>
      </c>
      <c r="L8" s="53">
        <f t="shared" si="0"/>
        <v>245131.34922294764</v>
      </c>
      <c r="M8" s="53">
        <f t="shared" si="0"/>
        <v>272641.14805807534</v>
      </c>
      <c r="N8" s="53">
        <f t="shared" si="0"/>
        <v>299278.62288439233</v>
      </c>
      <c r="O8" s="53">
        <f t="shared" si="0"/>
        <v>324807.31304620847</v>
      </c>
      <c r="P8" s="53">
        <f t="shared" si="0"/>
        <v>349035.86986929888</v>
      </c>
    </row>
    <row r="9" spans="1:16" x14ac:dyDescent="0.25">
      <c r="A9" s="58" t="s">
        <v>103</v>
      </c>
      <c r="B9" s="60">
        <f>SUM(B8:M8)</f>
        <v>1893186.5211702832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.75" thickBot="1" x14ac:dyDescent="0.3">
      <c r="A10" s="59" t="s">
        <v>102</v>
      </c>
      <c r="B10" s="61">
        <f>B9/(2025-2019+1)</f>
        <v>270455.21731004043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5" x14ac:dyDescent="0.25"/>
  <cols>
    <col min="1" max="1" width="34.85546875" bestFit="1" customWidth="1"/>
    <col min="2" max="2" width="34.7109375" bestFit="1" customWidth="1"/>
    <col min="3" max="3" width="12" bestFit="1" customWidth="1"/>
    <col min="4" max="8" width="12.140625" bestFit="1" customWidth="1"/>
    <col min="9" max="9" width="12.28515625" bestFit="1" customWidth="1"/>
    <col min="10" max="17" width="12.140625" customWidth="1"/>
    <col min="18" max="18" width="14.7109375" bestFit="1" customWidth="1"/>
    <col min="19" max="19" width="13.7109375" bestFit="1" customWidth="1"/>
  </cols>
  <sheetData>
    <row r="2" spans="1:18" x14ac:dyDescent="0.25">
      <c r="B2" t="s">
        <v>193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.75" thickBot="1" x14ac:dyDescent="0.3">
      <c r="A3" t="s">
        <v>119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116</v>
      </c>
      <c r="N3" t="s">
        <v>117</v>
      </c>
      <c r="O3" t="s">
        <v>186</v>
      </c>
      <c r="P3" t="s">
        <v>187</v>
      </c>
      <c r="Q3" t="s">
        <v>188</v>
      </c>
      <c r="R3" t="s">
        <v>125</v>
      </c>
    </row>
    <row r="4" spans="1:18" x14ac:dyDescent="0.25">
      <c r="A4" s="1" t="s">
        <v>218</v>
      </c>
      <c r="B4" s="79" t="s">
        <v>118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25">
      <c r="A5" s="3" t="s">
        <v>124</v>
      </c>
      <c r="B5" s="80" t="s">
        <v>132</v>
      </c>
      <c r="C5" s="55">
        <f>LCC_standard!C23</f>
        <v>1119.1613243558936</v>
      </c>
      <c r="D5" s="55">
        <f>LCC_standard!D23</f>
        <v>1886.4824073287991</v>
      </c>
      <c r="E5" s="55">
        <f>LCC_standard!E23</f>
        <v>2351.2449856327294</v>
      </c>
      <c r="F5" s="55">
        <f>LCC_standard!F23</f>
        <v>2715.1327555606958</v>
      </c>
      <c r="G5" s="55">
        <f>LCC_standard!G23</f>
        <v>3022.3802143510211</v>
      </c>
      <c r="H5" s="55">
        <f>LCC_standard!H23</f>
        <v>3292.1739066013924</v>
      </c>
      <c r="I5" s="55">
        <f>LCC_standard!I23</f>
        <v>3534.8991953837435</v>
      </c>
      <c r="J5" s="55">
        <f>LCC_standard!J23</f>
        <v>3756.919749610182</v>
      </c>
      <c r="K5" s="55">
        <f>LCC_standard!K23</f>
        <v>3962.4635798548366</v>
      </c>
      <c r="L5" s="55">
        <f>LCC_standard!L23</f>
        <v>4154.505750960986</v>
      </c>
      <c r="M5" s="55">
        <f>LCC_standard!M23</f>
        <v>4335.2316792304482</v>
      </c>
      <c r="N5" s="55">
        <f>LCC_standard!N23</f>
        <v>4506.3013961617698</v>
      </c>
      <c r="O5" s="55">
        <f>LCC_standard!O23</f>
        <v>4669.0101699258903</v>
      </c>
      <c r="P5" s="55">
        <f>LCC_standard!P23</f>
        <v>4824.3911633064927</v>
      </c>
      <c r="Q5" s="55">
        <f>LCC_standard!Q23</f>
        <v>4973.2837794062825</v>
      </c>
      <c r="R5" s="73">
        <f>SUM(Tabell1[[#This Row],[2014]:[2024]])</f>
        <v>34130.595548870726</v>
      </c>
    </row>
    <row r="6" spans="1:18" x14ac:dyDescent="0.25">
      <c r="A6" s="3" t="s">
        <v>124</v>
      </c>
      <c r="B6" s="80" t="s">
        <v>133</v>
      </c>
      <c r="C6" s="55">
        <f>LCC_standard!C29</f>
        <v>1471.4897776547728</v>
      </c>
      <c r="D6" s="55">
        <f>LCC_standard!D29</f>
        <v>7244.5096604245427</v>
      </c>
      <c r="E6" s="55">
        <f>LCC_standard!E29</f>
        <v>16704.501989384764</v>
      </c>
      <c r="F6" s="55">
        <f>LCC_standard!F29</f>
        <v>29673.136380642834</v>
      </c>
      <c r="G6" s="55">
        <f>LCC_standard!G29</f>
        <v>45927.063433238516</v>
      </c>
      <c r="H6" s="55">
        <f>LCC_standard!H29</f>
        <v>65240.332283264754</v>
      </c>
      <c r="I6" s="55">
        <f>LCC_standard!I29</f>
        <v>87385.896359003862</v>
      </c>
      <c r="J6" s="55">
        <f>LCC_standard!J29</f>
        <v>112136.8882317091</v>
      </c>
      <c r="K6" s="55">
        <f>LCC_standard!K29</f>
        <v>139268.05114827998</v>
      </c>
      <c r="L6" s="55">
        <f>LCC_standard!L29</f>
        <v>168557.17249601317</v>
      </c>
      <c r="M6" s="55">
        <f>LCC_standard!M29</f>
        <v>199786.42460284301</v>
      </c>
      <c r="N6" s="55">
        <f>LCC_standard!N29</f>
        <v>232743.56911714189</v>
      </c>
      <c r="O6" s="55">
        <f>LCC_standard!O29</f>
        <v>267223.00810655183</v>
      </c>
      <c r="P6" s="55">
        <f>LCC_standard!P29</f>
        <v>303026.67870702618</v>
      </c>
      <c r="Q6" s="55">
        <f>LCC_standard!Q29</f>
        <v>339964.7952062671</v>
      </c>
      <c r="R6" s="73">
        <f>SUM(Tabell1[[#This Row],[2014]:[2024]])</f>
        <v>873395.46636245935</v>
      </c>
    </row>
    <row r="7" spans="1:18" ht="15.75" thickBot="1" x14ac:dyDescent="0.3">
      <c r="A7" s="4" t="s">
        <v>124</v>
      </c>
      <c r="B7" s="81" t="s">
        <v>30</v>
      </c>
      <c r="C7" s="74">
        <f>LCC_standard!C33</f>
        <v>55.794250830733674</v>
      </c>
      <c r="D7" s="74">
        <f>LCC_standard!D33</f>
        <v>274.68895487918928</v>
      </c>
      <c r="E7" s="74">
        <f>LCC_standard!E33</f>
        <v>633.38202422557629</v>
      </c>
      <c r="F7" s="74">
        <f>LCC_standard!F33</f>
        <v>1125.1117332223657</v>
      </c>
      <c r="G7" s="74">
        <f>LCC_standard!G33</f>
        <v>1741.409377098852</v>
      </c>
      <c r="H7" s="74">
        <f>LCC_standard!H33</f>
        <v>2473.7076118152117</v>
      </c>
      <c r="I7" s="74">
        <f>LCC_standard!I33</f>
        <v>3313.3975475476473</v>
      </c>
      <c r="J7" s="74">
        <f>LCC_standard!J33</f>
        <v>4251.8770870087474</v>
      </c>
      <c r="K7" s="74">
        <f>LCC_standard!K33</f>
        <v>5280.6052046510304</v>
      </c>
      <c r="L7" s="74">
        <f>LCC_standard!L33</f>
        <v>6391.1562991287083</v>
      </c>
      <c r="M7" s="74">
        <f>LCC_standard!M33</f>
        <v>7575.2710322135008</v>
      </c>
      <c r="N7" s="74">
        <f>LCC_standard!N33</f>
        <v>8824.9019950776801</v>
      </c>
      <c r="O7" s="74">
        <f>LCC_standard!O33</f>
        <v>10132.253562646263</v>
      </c>
      <c r="P7" s="74">
        <f>LCC_standard!P33</f>
        <v>11489.815815866688</v>
      </c>
      <c r="Q7" s="74">
        <f>LCC_standard!Q33</f>
        <v>12890.392679171968</v>
      </c>
      <c r="R7" s="75">
        <f>SUM(Tabell1[[#This Row],[2014]:[2024]])</f>
        <v>33116.401122621566</v>
      </c>
    </row>
    <row r="8" spans="1:18" x14ac:dyDescent="0.25">
      <c r="A8" s="1" t="s">
        <v>219</v>
      </c>
      <c r="B8" s="79" t="s">
        <v>118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25">
      <c r="A9" s="3" t="s">
        <v>143</v>
      </c>
      <c r="B9" s="80" t="s">
        <v>132</v>
      </c>
      <c r="C9" s="55">
        <f>LCC_current_2018_standard_cross!C23</f>
        <v>0</v>
      </c>
      <c r="D9" s="55">
        <f>LCC_current_2018_standard_cross!D23</f>
        <v>19231.813333333332</v>
      </c>
      <c r="E9" s="55">
        <f>LCC_current_2018_standard_cross!E23</f>
        <v>0</v>
      </c>
      <c r="F9" s="55">
        <f>LCC_current_2018_standard_cross!F23</f>
        <v>19231.813333333332</v>
      </c>
      <c r="G9" s="55">
        <f>LCC_current_2018_standard_cross!G23</f>
        <v>0</v>
      </c>
      <c r="H9" s="55">
        <f>LCC_current_2018_standard_cross!H23</f>
        <v>3292.1739066013924</v>
      </c>
      <c r="I9" s="55">
        <f>LCC_current_2018_standard_cross!I23</f>
        <v>3534.8991953837435</v>
      </c>
      <c r="J9" s="55">
        <f>LCC_current_2018_standard_cross!J23</f>
        <v>3756.919749610182</v>
      </c>
      <c r="K9" s="55">
        <f>LCC_current_2018_standard_cross!K23</f>
        <v>3962.4635798548366</v>
      </c>
      <c r="L9" s="55">
        <f>LCC_current_2018_standard_cross!L23</f>
        <v>4154.505750960986</v>
      </c>
      <c r="M9" s="55">
        <f>LCC_current_2018_standard_cross!M23</f>
        <v>4335.2316792304482</v>
      </c>
      <c r="N9" s="55">
        <f>LCC_current_2018_standard_cross!N23</f>
        <v>4506.3013961617698</v>
      </c>
      <c r="O9" s="55">
        <f>LCC_current_2018_standard_cross!O23</f>
        <v>4669.0101699258903</v>
      </c>
      <c r="P9" s="55">
        <f>LCC_current_2018_standard_cross!P23</f>
        <v>4824.3911633064927</v>
      </c>
      <c r="Q9" s="55">
        <f>LCC_current_2018_standard_cross!Q23</f>
        <v>4973.2837794062825</v>
      </c>
      <c r="R9" s="73">
        <f>SUM(Tabell1[[#This Row],[2014]:[2024]])</f>
        <v>61499.82052830825</v>
      </c>
    </row>
    <row r="10" spans="1:18" x14ac:dyDescent="0.25">
      <c r="A10" s="3" t="s">
        <v>143</v>
      </c>
      <c r="B10" s="80" t="s">
        <v>133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60390.538487814534</v>
      </c>
      <c r="I10" s="55">
        <f>LCC_current_2018_standard_cross!I29</f>
        <v>87385.896359003862</v>
      </c>
      <c r="J10" s="55">
        <f>LCC_current_2018_standard_cross!J29</f>
        <v>112136.8882317091</v>
      </c>
      <c r="K10" s="55">
        <f>LCC_current_2018_standard_cross!K29</f>
        <v>139268.05114827998</v>
      </c>
      <c r="L10" s="55">
        <f>LCC_current_2018_standard_cross!L29</f>
        <v>168557.17249601317</v>
      </c>
      <c r="M10" s="55">
        <f>LCC_current_2018_standard_cross!M29</f>
        <v>199786.42460284301</v>
      </c>
      <c r="N10" s="55">
        <f>LCC_current_2018_standard_cross!N29</f>
        <v>232743.56911714189</v>
      </c>
      <c r="O10" s="55">
        <f>LCC_current_2018_standard_cross!O29</f>
        <v>267223.00810655183</v>
      </c>
      <c r="P10" s="55">
        <f>LCC_current_2018_standard_cross!P29</f>
        <v>303026.67870702618</v>
      </c>
      <c r="Q10" s="55">
        <f>LCC_current_2018_standard_cross!Q29</f>
        <v>339964.7952062671</v>
      </c>
      <c r="R10" s="73">
        <f>SUM(Tabell1[[#This Row],[2014]:[2024]])</f>
        <v>767524.97132566373</v>
      </c>
    </row>
    <row r="11" spans="1:18" ht="15.75" thickBot="1" x14ac:dyDescent="0.3">
      <c r="A11" s="3" t="s">
        <v>143</v>
      </c>
      <c r="B11" s="81" t="s">
        <v>30</v>
      </c>
      <c r="C11" s="74">
        <f>LCC_current_2018_standard_cross!C33</f>
        <v>0</v>
      </c>
      <c r="D11" s="74">
        <f>LCC_current_2018_standard_cross!D33</f>
        <v>0</v>
      </c>
      <c r="E11" s="74">
        <f>LCC_current_2018_standard_cross!E33</f>
        <v>0</v>
      </c>
      <c r="F11" s="74">
        <f>LCC_current_2018_standard_cross!F33</f>
        <v>0</v>
      </c>
      <c r="G11" s="74">
        <f>LCC_current_2018_standard_cross!G33</f>
        <v>0</v>
      </c>
      <c r="H11" s="74">
        <f>LCC_current_2018_standard_cross!H33</f>
        <v>2289.8187288547429</v>
      </c>
      <c r="I11" s="74">
        <f>LCC_current_2018_standard_cross!I33</f>
        <v>3313.3975475476473</v>
      </c>
      <c r="J11" s="74">
        <f>LCC_current_2018_standard_cross!J33</f>
        <v>4251.8770870087474</v>
      </c>
      <c r="K11" s="74">
        <f>LCC_current_2018_standard_cross!K33</f>
        <v>5280.6052046510304</v>
      </c>
      <c r="L11" s="74">
        <f>LCC_current_2018_standard_cross!L33</f>
        <v>6391.1562991287083</v>
      </c>
      <c r="M11" s="74">
        <f>LCC_current_2018_standard_cross!M33</f>
        <v>7575.2710322135008</v>
      </c>
      <c r="N11" s="74">
        <f>LCC_current_2018_standard_cross!N33</f>
        <v>8824.9019950776801</v>
      </c>
      <c r="O11" s="74">
        <f>LCC_current_2018_standard_cross!O33</f>
        <v>10132.253562646263</v>
      </c>
      <c r="P11" s="74">
        <f>LCC_current_2018_standard_cross!P33</f>
        <v>11489.815815866688</v>
      </c>
      <c r="Q11" s="74">
        <f>LCC_current_2018_standard_cross!Q33</f>
        <v>12890.392679171968</v>
      </c>
      <c r="R11" s="75">
        <f>SUM(Tabell1[[#This Row],[2014]:[2024]])</f>
        <v>29102.125899404382</v>
      </c>
    </row>
    <row r="12" spans="1:18" x14ac:dyDescent="0.25">
      <c r="A12" t="s">
        <v>218</v>
      </c>
      <c r="B12" s="80" t="s">
        <v>120</v>
      </c>
      <c r="C12" s="55">
        <f>SUM(C4:C7)</f>
        <v>13338.569758988</v>
      </c>
      <c r="D12" s="55">
        <f>SUM(D4:D7)</f>
        <v>25775.485158263786</v>
      </c>
      <c r="E12" s="55">
        <f>SUM(E4:E7)</f>
        <v>43493.596535477693</v>
      </c>
      <c r="F12" s="55">
        <f t="shared" ref="F12:Q12" si="0">SUM(F4:F7)</f>
        <v>66865.605310041559</v>
      </c>
      <c r="G12" s="55">
        <f t="shared" si="0"/>
        <v>95658.583815369318</v>
      </c>
      <c r="H12" s="55">
        <f t="shared" si="0"/>
        <v>129551.04638673618</v>
      </c>
      <c r="I12" s="55">
        <f t="shared" si="0"/>
        <v>168190.0802375272</v>
      </c>
      <c r="J12" s="55">
        <f t="shared" si="0"/>
        <v>211209.57309956473</v>
      </c>
      <c r="K12" s="55">
        <f t="shared" si="0"/>
        <v>258238.99182696402</v>
      </c>
      <c r="L12" s="55">
        <f t="shared" si="0"/>
        <v>308908.79499009252</v>
      </c>
      <c r="M12" s="55">
        <f t="shared" si="0"/>
        <v>362854.27874159114</v>
      </c>
      <c r="N12" s="55">
        <f t="shared" si="0"/>
        <v>419718.52129640389</v>
      </c>
      <c r="O12" s="55">
        <f t="shared" si="0"/>
        <v>479154.71756647917</v>
      </c>
      <c r="P12" s="55">
        <f t="shared" si="0"/>
        <v>540828.05193391384</v>
      </c>
      <c r="Q12" s="55">
        <f t="shared" si="0"/>
        <v>604417.19522122236</v>
      </c>
      <c r="R12" s="83">
        <f>SUM(Tabell1[[#This Row],[2014]:[2024]])</f>
        <v>1684084.6058606163</v>
      </c>
    </row>
    <row r="13" spans="1:18" ht="15.75" thickBot="1" x14ac:dyDescent="0.3">
      <c r="A13" s="3" t="s">
        <v>219</v>
      </c>
      <c r="B13" s="80" t="s">
        <v>120</v>
      </c>
      <c r="C13" s="55">
        <f>SUM(C8:C11)</f>
        <v>7067</v>
      </c>
      <c r="D13" s="55">
        <f>SUM(D8:D11)</f>
        <v>71650.313333333324</v>
      </c>
      <c r="E13" s="55">
        <f t="shared" ref="E13:Q13" si="1">SUM(E8:E11)</f>
        <v>7067</v>
      </c>
      <c r="F13" s="55">
        <f t="shared" si="1"/>
        <v>71650.313333333324</v>
      </c>
      <c r="G13" s="55">
        <f t="shared" si="1"/>
        <v>7067</v>
      </c>
      <c r="H13" s="55">
        <f t="shared" si="1"/>
        <v>121267.75133642867</v>
      </c>
      <c r="I13" s="55">
        <f>SUM(I8:I11)</f>
        <v>168190.0802375272</v>
      </c>
      <c r="J13" s="55">
        <f t="shared" si="1"/>
        <v>211209.57309956473</v>
      </c>
      <c r="K13" s="55">
        <f t="shared" si="1"/>
        <v>258238.99182696402</v>
      </c>
      <c r="L13" s="55">
        <f t="shared" si="1"/>
        <v>308908.79499009252</v>
      </c>
      <c r="M13" s="55">
        <f t="shared" si="1"/>
        <v>362854.27874159114</v>
      </c>
      <c r="N13" s="55">
        <f t="shared" si="1"/>
        <v>419718.52129640389</v>
      </c>
      <c r="O13" s="55">
        <f t="shared" si="1"/>
        <v>479154.71756647917</v>
      </c>
      <c r="P13" s="55">
        <f t="shared" si="1"/>
        <v>540828.05193391384</v>
      </c>
      <c r="Q13" s="55">
        <f t="shared" si="1"/>
        <v>604417.19522122236</v>
      </c>
      <c r="R13" s="83">
        <f>SUM(Tabell1[[#This Row],[2014]:[2024]])</f>
        <v>1595171.0968988349</v>
      </c>
    </row>
    <row r="14" spans="1:18" ht="15.75" thickBot="1" x14ac:dyDescent="0.3">
      <c r="A14" s="1" t="s">
        <v>198</v>
      </c>
      <c r="B14" s="79" t="s">
        <v>215</v>
      </c>
      <c r="C14" s="53">
        <f>C12/(1+'Input params'!$D$2)^(2014-Tabell1[[#Headers],[2014]])</f>
        <v>13338.569758988</v>
      </c>
      <c r="D14" s="53">
        <f>D12/(1+'Input params'!$D$2)^(2014-Tabell1[[#Headers],[2015]])</f>
        <v>26806.504564594339</v>
      </c>
      <c r="E14" s="53">
        <f>E12/(1+'Input params'!$D$2)^(2014-Tabell1[[#Headers],[2016]])</f>
        <v>47042.674012772681</v>
      </c>
      <c r="F14" s="53">
        <f>F12/(1+'Input params'!$D$2)^(2014-Tabell1[[#Headers],[2017]])</f>
        <v>75214.712251474586</v>
      </c>
      <c r="G14" s="53">
        <f>G12/(1+'Input params'!$D$2)^(2014-Tabell1[[#Headers],[2018]])</f>
        <v>111907.01311388727</v>
      </c>
      <c r="H14" s="53">
        <f>H12/(1+'Input params'!$D$2)^(2014-Tabell1[[#Headers],[2019]])</f>
        <v>157618.65659537967</v>
      </c>
      <c r="I14" s="53">
        <f>I12/(1+'Input params'!$D$2)^(2014-Tabell1[[#Headers],[2020]])</f>
        <v>212814.10724691147</v>
      </c>
      <c r="J14" s="53">
        <f>J12/(1+'Input params'!$D$2)^(2014-Tabell1[[#Headers],[2021]])</f>
        <v>277937.38932055247</v>
      </c>
      <c r="K14" s="53">
        <f>K12/(1+'Input params'!$D$2)^(2014-Tabell1[[#Headers],[2022]])</f>
        <v>353417.89182224346</v>
      </c>
      <c r="L14" s="53">
        <f>L12/(1+'Input params'!$D$2)^(2014-Tabell1[[#Headers],[2023]])</f>
        <v>439673.53687028564</v>
      </c>
      <c r="M14" s="53">
        <f>M12/(1+'Input params'!$D$2)^(2014-Tabell1[[#Headers],[2024]])</f>
        <v>537112.97236540832</v>
      </c>
      <c r="N14" s="53">
        <f>N12/(1+'Input params'!$D$2)^(2014-Tabell1[[#Headers],[2025]])</f>
        <v>646137.38012031547</v>
      </c>
      <c r="O14" s="53">
        <f>O12/(1+'Input params'!$D$2)^(2014-Tabell1[[#Headers],[2026]])</f>
        <v>767142.14050263108</v>
      </c>
      <c r="P14" s="53">
        <f>P12/(1+'Input params'!$D$2)^(2014-Tabell1[[#Headers],[2027]])</f>
        <v>900518.46128544712</v>
      </c>
      <c r="Q14" s="53">
        <f>Q12/(1+'Input params'!$D$2)^(2014-Tabell1[[#Headers],[2028]])</f>
        <v>1046655.0214907371</v>
      </c>
      <c r="R14" s="82">
        <f>SUM(Tabell1[[#This Row],[2014]:[2024]])</f>
        <v>2252884.0279224981</v>
      </c>
    </row>
    <row r="15" spans="1:18" x14ac:dyDescent="0.25">
      <c r="A15" s="3" t="s">
        <v>199</v>
      </c>
      <c r="B15" s="79" t="s">
        <v>215</v>
      </c>
      <c r="C15" s="55">
        <f>C13/(1+'Input params'!$D$2)^(2014-Tabell1[[#Headers],[2014]])</f>
        <v>7067</v>
      </c>
      <c r="D15" s="55">
        <f>D13/(1+'Input params'!$D$2)^(2014-Tabell1[[#Headers],[2015]])</f>
        <v>74516.325866666666</v>
      </c>
      <c r="E15" s="55">
        <f>E13/(1+'Input params'!$D$2)^(2014-Tabell1[[#Headers],[2016]])</f>
        <v>7643.6672000000008</v>
      </c>
      <c r="F15" s="55">
        <f>F13/(1+'Input params'!$D$2)^(2014-Tabell1[[#Headers],[2017]])</f>
        <v>80596.858057386664</v>
      </c>
      <c r="G15" s="55">
        <f>G13/(1+'Input params'!$D$2)^(2014-Tabell1[[#Headers],[2018]])</f>
        <v>8267.390443520002</v>
      </c>
      <c r="H15" s="55">
        <f>H13/(1+'Input params'!$D$2)^(2014-Tabell1[[#Headers],[2019]])</f>
        <v>147540.76163098746</v>
      </c>
      <c r="I15" s="55">
        <f>I13/(1+'Input params'!$D$2)^(2014-Tabell1[[#Headers],[2020]])</f>
        <v>212814.10724691147</v>
      </c>
      <c r="J15" s="55">
        <f>J13/(1+'Input params'!$D$2)^(2014-Tabell1[[#Headers],[2021]])</f>
        <v>277937.38932055247</v>
      </c>
      <c r="K15" s="55">
        <f>K13/(1+'Input params'!$D$2)^(2014-Tabell1[[#Headers],[2022]])</f>
        <v>353417.89182224346</v>
      </c>
      <c r="L15" s="55">
        <f>L13/(1+'Input params'!$D$2)^(2014-Tabell1[[#Headers],[2023]])</f>
        <v>439673.53687028564</v>
      </c>
      <c r="M15" s="55">
        <f>M13/(1+'Input params'!$D$2)^(2014-Tabell1[[#Headers],[2024]])</f>
        <v>537112.97236540832</v>
      </c>
      <c r="N15" s="55">
        <f>N13/(1+'Input params'!$D$2)^(2014-Tabell1[[#Headers],[2025]])</f>
        <v>646137.38012031547</v>
      </c>
      <c r="O15" s="55">
        <f>O13/(1+'Input params'!$D$2)^(2014-Tabell1[[#Headers],[2026]])</f>
        <v>767142.14050263108</v>
      </c>
      <c r="P15" s="55">
        <f>P13/(1+'Input params'!$D$2)^(2014-Tabell1[[#Headers],[2027]])</f>
        <v>900518.46128544712</v>
      </c>
      <c r="Q15" s="55">
        <f>Q13/(1+'Input params'!$D$2)^(2014-Tabell1[[#Headers],[2028]])</f>
        <v>1046655.0214907371</v>
      </c>
      <c r="R15" s="83">
        <f>SUM(Tabell1[[#This Row],[2014]:[2024]])</f>
        <v>2146587.9008239624</v>
      </c>
    </row>
    <row r="16" spans="1:18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60" x14ac:dyDescent="0.25">
      <c r="A17" s="55"/>
      <c r="C17" t="s">
        <v>129</v>
      </c>
      <c r="D17" s="72" t="s">
        <v>130</v>
      </c>
      <c r="E17" s="72" t="s">
        <v>136</v>
      </c>
      <c r="F17" s="72" t="s">
        <v>137</v>
      </c>
      <c r="G17" s="72" t="s">
        <v>131</v>
      </c>
      <c r="H17" s="72" t="s">
        <v>192</v>
      </c>
    </row>
    <row r="18" spans="1:19" x14ac:dyDescent="0.25">
      <c r="A18" s="77" t="s">
        <v>135</v>
      </c>
      <c r="B18" t="s">
        <v>138</v>
      </c>
      <c r="C18" s="70">
        <f>L29</f>
        <v>160947.49284585539</v>
      </c>
      <c r="D18" s="49">
        <f>SUM(C8:L8)/(SUM(C13:L13)+'Input params'!$D$22)</f>
        <v>0.37744631873959711</v>
      </c>
      <c r="E18" s="49">
        <f>SUM(C9:L9)/(SUM(C13:L13)+'Input params'!$D$22)</f>
        <v>3.682718675786071E-2</v>
      </c>
      <c r="F18" s="49">
        <f>SUM(C10:L10)/(SUM(C13:L13)+'Input params'!$D$22)</f>
        <v>0.36575463780555195</v>
      </c>
      <c r="G18" s="49">
        <f>SUM(C11:L11)/(SUM(C13:L13)+'Input params'!$D$22)</f>
        <v>1.3868262161325605E-2</v>
      </c>
      <c r="H18" s="49">
        <f>C31/(SUM(C13:L13)+'Input params'!$D$22)</f>
        <v>0.20610359453566474</v>
      </c>
      <c r="I18" s="76">
        <f>SUM(D18:H18)</f>
        <v>1.0000000000000002</v>
      </c>
    </row>
    <row r="19" spans="1:19" x14ac:dyDescent="0.25">
      <c r="A19" s="71" t="s">
        <v>134</v>
      </c>
      <c r="B19" s="69" t="s">
        <v>124</v>
      </c>
      <c r="C19" s="70">
        <f>L30</f>
        <v>171577.10555570896</v>
      </c>
      <c r="D19" s="49">
        <f>SUM(C4:L4)/(SUM(C12:L12)+'Input params'!$D$22)</f>
        <v>0.36089568385104859</v>
      </c>
      <c r="E19" s="49">
        <f>SUM(C5:L5)/(SUM(C12:L12)+'Input params'!$D$22)</f>
        <v>1.8155148292629732E-2</v>
      </c>
      <c r="F19" s="49">
        <f>SUM(C6:L6)/(SUM(C12:L12)+'Input params'!$D$22)</f>
        <v>0.41044882344474937</v>
      </c>
      <c r="G19" s="49">
        <f>SUM(C7:L7)/(SUM(C12:L12)+'Input params'!$D$22)</f>
        <v>1.5562924701355698E-2</v>
      </c>
      <c r="H19" s="49">
        <f>C31/(SUM(C12:L12)+'Input params'!$D$22)</f>
        <v>0.19493741971021655</v>
      </c>
      <c r="I19" s="76">
        <f>SUM(D19:H19)</f>
        <v>1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25">
      <c r="D20" s="55"/>
      <c r="E20" s="55"/>
      <c r="F20" s="55"/>
      <c r="G20" s="55"/>
      <c r="H20" s="55"/>
    </row>
    <row r="21" spans="1:19" x14ac:dyDescent="0.25">
      <c r="D21" s="55">
        <f>D18*$C$18</f>
        <v>60749.038685035761</v>
      </c>
      <c r="E21" s="55">
        <f>E18*$C$18</f>
        <v>5927.2433772437671</v>
      </c>
      <c r="F21" s="55">
        <f>F18*$C$18</f>
        <v>58867.291951547501</v>
      </c>
      <c r="G21" s="55">
        <f>G18*$C$18</f>
        <v>2232.0620249944</v>
      </c>
      <c r="H21" s="55">
        <f>H18*$C$18</f>
        <v>33171.856807033982</v>
      </c>
    </row>
    <row r="22" spans="1:19" x14ac:dyDescent="0.25">
      <c r="D22" s="55">
        <f>D19*$C$19</f>
        <v>61921.436842711133</v>
      </c>
      <c r="E22" s="55">
        <f>E19*$C$19</f>
        <v>3115.0077949840806</v>
      </c>
      <c r="F22" s="55">
        <f>F19*$C$19</f>
        <v>70423.621105396305</v>
      </c>
      <c r="G22" s="55">
        <f>G19*$C$19</f>
        <v>2670.2415742400567</v>
      </c>
      <c r="H22" s="55">
        <f>H19*$C$19</f>
        <v>33446.798238377363</v>
      </c>
    </row>
    <row r="23" spans="1:19" x14ac:dyDescent="0.25">
      <c r="S23" s="55"/>
    </row>
    <row r="24" spans="1:19" x14ac:dyDescent="0.25">
      <c r="S24" s="55"/>
    </row>
    <row r="25" spans="1:19" x14ac:dyDescent="0.25">
      <c r="S25" s="55"/>
    </row>
    <row r="26" spans="1:19" x14ac:dyDescent="0.25">
      <c r="B26" t="s">
        <v>193</v>
      </c>
      <c r="C26">
        <v>1</v>
      </c>
      <c r="D26">
        <v>2</v>
      </c>
      <c r="E26">
        <v>3</v>
      </c>
      <c r="F26">
        <f t="shared" ref="F26:L26" si="2">F28-2014+1</f>
        <v>4</v>
      </c>
      <c r="G26">
        <f t="shared" si="2"/>
        <v>5</v>
      </c>
      <c r="H26">
        <f t="shared" si="2"/>
        <v>6</v>
      </c>
      <c r="I26">
        <f t="shared" si="2"/>
        <v>7</v>
      </c>
      <c r="J26">
        <f t="shared" si="2"/>
        <v>8</v>
      </c>
      <c r="K26">
        <f t="shared" si="2"/>
        <v>9</v>
      </c>
      <c r="L26">
        <f t="shared" si="2"/>
        <v>10</v>
      </c>
      <c r="M26">
        <f>M28-2014+1</f>
        <v>11</v>
      </c>
      <c r="N26">
        <f>N28-2014+1</f>
        <v>12</v>
      </c>
      <c r="O26">
        <f>O28-2014+1</f>
        <v>13</v>
      </c>
      <c r="P26">
        <f>P28-2014+1</f>
        <v>14</v>
      </c>
      <c r="Q26">
        <f>Q28-2014+1</f>
        <v>15</v>
      </c>
      <c r="S26" s="55"/>
    </row>
    <row r="27" spans="1:19" x14ac:dyDescent="0.25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25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25">
      <c r="B29" t="s">
        <v>216</v>
      </c>
      <c r="C29" s="55">
        <f>SUM($C$15:C15)/C26</f>
        <v>7067</v>
      </c>
      <c r="D29" s="55">
        <f>SUM($C$15:D15)/D26</f>
        <v>40791.662933333333</v>
      </c>
      <c r="E29" s="55">
        <f>SUM($C$15:E15)/E26</f>
        <v>29742.331022222221</v>
      </c>
      <c r="F29" s="55">
        <f>SUM($C$15:F15)/F26</f>
        <v>42455.962781013332</v>
      </c>
      <c r="G29" s="55">
        <f>SUM($C$15:G15)/G26</f>
        <v>35618.248313514669</v>
      </c>
      <c r="H29" s="55">
        <f>SUM($C$15:H15)/H26</f>
        <v>54272.000533093465</v>
      </c>
      <c r="I29" s="55">
        <f>SUM($C$15:I15)/I26</f>
        <v>76920.872920781752</v>
      </c>
      <c r="J29" s="106">
        <f>SUM($C$15:J15)/J26</f>
        <v>102047.9374707531</v>
      </c>
      <c r="K29" s="55">
        <f>SUM($C$15:K15)/K26</f>
        <v>129977.93239869649</v>
      </c>
      <c r="L29" s="55">
        <f>SUM($C$15:L15)/L26</f>
        <v>160947.49284585539</v>
      </c>
      <c r="M29" s="134">
        <f>SUM($C$15:M15)/M26</f>
        <v>195144.35462036022</v>
      </c>
      <c r="N29" s="55">
        <f>SUM($C$15:N15)/N26</f>
        <v>232727.10674535649</v>
      </c>
      <c r="O29" s="55">
        <f>SUM($C$15:O15)/O26</f>
        <v>273835.95549591607</v>
      </c>
      <c r="P29" s="55">
        <f>SUM($C$15:P15)/P26</f>
        <v>318598.99162373971</v>
      </c>
      <c r="Q29" s="55">
        <f>SUM($C$15:Q15)/Q26</f>
        <v>367136.06028153951</v>
      </c>
    </row>
    <row r="30" spans="1:19" x14ac:dyDescent="0.25">
      <c r="B30" t="s">
        <v>217</v>
      </c>
      <c r="C30" s="55">
        <f>SUM($C$14:C14)/C26</f>
        <v>13338.569758988</v>
      </c>
      <c r="D30" s="55">
        <f>SUM($C$14:D14)/D26</f>
        <v>20072.53716179117</v>
      </c>
      <c r="E30" s="55">
        <f>SUM($C$14:E14)/E26</f>
        <v>29062.58277878501</v>
      </c>
      <c r="F30" s="55">
        <f>SUM($C$14:F14)/F26</f>
        <v>40600.615146957403</v>
      </c>
      <c r="G30" s="55">
        <f>SUM($C$14:G14)/G26</f>
        <v>54861.89474034337</v>
      </c>
      <c r="H30" s="55">
        <f>SUM($C$14:H14)/H26</f>
        <v>71988.02171618276</v>
      </c>
      <c r="I30" s="55">
        <f>SUM($C$14:I14)/I26</f>
        <v>92106.033934858293</v>
      </c>
      <c r="J30" s="55">
        <f>SUM($C$14:J14)/J26</f>
        <v>115334.95335807007</v>
      </c>
      <c r="K30" s="55">
        <f>SUM($C$14:K14)/K26</f>
        <v>141788.61318742266</v>
      </c>
      <c r="L30" s="134">
        <f>SUM($C$14:L14)/L26</f>
        <v>171577.10555570896</v>
      </c>
      <c r="M30" s="55">
        <f>SUM($C$14:M14)/M26</f>
        <v>204807.63890204529</v>
      </c>
      <c r="N30" s="106">
        <f>SUM($C$14:N14)/N26</f>
        <v>241585.11733690114</v>
      </c>
      <c r="O30" s="106">
        <f>SUM($C$14:O14)/O26</f>
        <v>282012.58065734192</v>
      </c>
      <c r="P30" s="55">
        <f>SUM($C$14:P14)/P26</f>
        <v>326191.57213077799</v>
      </c>
      <c r="Q30" s="55">
        <f>SUM($C$14:Q14)/Q26</f>
        <v>374222.46875477524</v>
      </c>
    </row>
    <row r="31" spans="1:19" x14ac:dyDescent="0.25">
      <c r="B31" t="s">
        <v>195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zoomScale="115" zoomScaleNormal="115" workbookViewId="0">
      <selection activeCell="J4" sqref="J4"/>
    </sheetView>
  </sheetViews>
  <sheetFormatPr defaultRowHeight="15" x14ac:dyDescent="0.25"/>
  <cols>
    <col min="1" max="1" width="23.5703125" bestFit="1" customWidth="1"/>
    <col min="2" max="2" width="16.42578125" customWidth="1"/>
    <col min="3" max="12" width="13.7109375" bestFit="1" customWidth="1"/>
  </cols>
  <sheetData>
    <row r="1" spans="1:12" ht="15.75" thickBot="1" x14ac:dyDescent="0.3">
      <c r="A1" s="79" t="s">
        <v>144</v>
      </c>
      <c r="B1" s="49" t="s">
        <v>156</v>
      </c>
      <c r="C1" s="49" t="s">
        <v>155</v>
      </c>
      <c r="D1" s="49" t="s">
        <v>154</v>
      </c>
      <c r="E1" s="49" t="s">
        <v>153</v>
      </c>
      <c r="F1" s="49" t="s">
        <v>152</v>
      </c>
      <c r="G1" s="49" t="s">
        <v>146</v>
      </c>
      <c r="H1" s="49" t="s">
        <v>147</v>
      </c>
      <c r="I1" s="49" t="s">
        <v>148</v>
      </c>
      <c r="J1" s="49" t="s">
        <v>149</v>
      </c>
      <c r="K1" s="49" t="s">
        <v>150</v>
      </c>
      <c r="L1" s="49" t="s">
        <v>151</v>
      </c>
    </row>
    <row r="2" spans="1:12" x14ac:dyDescent="0.25">
      <c r="A2" s="86" t="s">
        <v>129</v>
      </c>
      <c r="B2" s="87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25">
      <c r="A3" s="84" t="s">
        <v>29</v>
      </c>
      <c r="B3" s="93">
        <v>0.16510334628663936</v>
      </c>
      <c r="C3" s="94">
        <v>0.16584843346794242</v>
      </c>
      <c r="D3" s="94">
        <v>0.16658851699364358</v>
      </c>
      <c r="E3" s="94">
        <v>0.1673236470983685</v>
      </c>
      <c r="F3" s="94">
        <v>0.1680538733465394</v>
      </c>
      <c r="G3" s="94">
        <v>0.16877924464351465</v>
      </c>
      <c r="H3" s="94">
        <v>0.16949980924650709</v>
      </c>
      <c r="I3" s="94">
        <v>0.17021561477528591</v>
      </c>
      <c r="J3" s="94">
        <v>0.17092670822266717</v>
      </c>
      <c r="K3" s="94">
        <v>0.17163313596479818</v>
      </c>
      <c r="L3" s="95">
        <v>0.17233494377123934</v>
      </c>
    </row>
    <row r="4" spans="1:12" x14ac:dyDescent="0.25">
      <c r="A4" s="85" t="s">
        <v>132</v>
      </c>
      <c r="B4" s="96">
        <v>3.1121017654609513E-2</v>
      </c>
      <c r="C4" s="94">
        <v>3.3083913094500539E-2</v>
      </c>
      <c r="D4" s="94">
        <v>3.503362665043179E-2</v>
      </c>
      <c r="E4" s="94">
        <v>3.6970290663047772E-2</v>
      </c>
      <c r="F4" s="94">
        <v>3.8894035707374791E-2</v>
      </c>
      <c r="G4" s="94">
        <v>4.0804990622168025E-2</v>
      </c>
      <c r="H4" s="94">
        <v>4.2703282538675155E-2</v>
      </c>
      <c r="I4" s="94">
        <v>4.4589036908830017E-2</v>
      </c>
      <c r="J4" s="94">
        <v>4.6462377532889572E-2</v>
      </c>
      <c r="K4" s="94">
        <v>4.8323426586526864E-2</v>
      </c>
      <c r="L4" s="95">
        <v>5.0172304647392259E-2</v>
      </c>
    </row>
    <row r="5" spans="1:12" x14ac:dyDescent="0.25">
      <c r="A5" s="85" t="s">
        <v>133</v>
      </c>
      <c r="B5" s="93">
        <v>0.57208062663837778</v>
      </c>
      <c r="C5" s="94">
        <v>0.57015324252102018</v>
      </c>
      <c r="D5" s="94">
        <v>0.5682388018102571</v>
      </c>
      <c r="E5" s="94">
        <v>0.56633717455965771</v>
      </c>
      <c r="F5" s="94">
        <v>0.56444823255646737</v>
      </c>
      <c r="G5" s="94">
        <v>0.56257184929279069</v>
      </c>
      <c r="H5" s="94">
        <v>0.56070789993734915</v>
      </c>
      <c r="I5" s="94">
        <v>0.55885626130779698</v>
      </c>
      <c r="J5" s="94">
        <v>0.55701681184358431</v>
      </c>
      <c r="K5" s="94">
        <v>0.55518943157935441</v>
      </c>
      <c r="L5" s="95">
        <v>0.55337400211886278</v>
      </c>
    </row>
    <row r="6" spans="1:12" ht="15.75" thickBot="1" x14ac:dyDescent="0.3">
      <c r="A6" s="90" t="s">
        <v>30</v>
      </c>
      <c r="B6" s="97">
        <v>0.1425146125610878</v>
      </c>
      <c r="C6" s="98">
        <v>0.14203446974912845</v>
      </c>
      <c r="D6" s="98">
        <v>0.14155755135080969</v>
      </c>
      <c r="E6" s="98">
        <v>0.14108382499435665</v>
      </c>
      <c r="F6" s="98">
        <v>0.14061325873988145</v>
      </c>
      <c r="G6" s="98">
        <v>0.14014582107220452</v>
      </c>
      <c r="H6" s="98">
        <v>0.13968148089381888</v>
      </c>
      <c r="I6" s="98">
        <v>0.13922020751799355</v>
      </c>
      <c r="J6" s="98">
        <v>0.13876197066201329</v>
      </c>
      <c r="K6" s="98">
        <v>0.13830674044055166</v>
      </c>
      <c r="L6" s="99">
        <v>0.13785448735917352</v>
      </c>
    </row>
    <row r="7" spans="1:12" x14ac:dyDescent="0.25">
      <c r="A7" s="85"/>
      <c r="B7" s="112">
        <v>8.9180396859285763E-2</v>
      </c>
      <c r="C7" s="94">
        <v>8.8879941167408452E-2</v>
      </c>
      <c r="D7" s="94">
        <v>8.8581503194857886E-2</v>
      </c>
      <c r="E7" s="94">
        <v>8.8285062684569315E-2</v>
      </c>
      <c r="F7" s="94">
        <v>8.7990599649737031E-2</v>
      </c>
      <c r="G7" s="94">
        <v>8.7698094369322091E-2</v>
      </c>
      <c r="H7" s="94">
        <v>8.7407527383649708E-2</v>
      </c>
      <c r="I7" s="94">
        <v>8.7118879490093573E-2</v>
      </c>
      <c r="J7" s="94">
        <v>8.6832131738845589E-2</v>
      </c>
      <c r="K7" s="94">
        <v>8.654726542876888E-2</v>
      </c>
      <c r="L7" s="95">
        <v>8.626426210333199E-2</v>
      </c>
    </row>
    <row r="8" spans="1:12" x14ac:dyDescent="0.25">
      <c r="A8" s="84" t="s">
        <v>29</v>
      </c>
      <c r="B8" s="101">
        <f t="shared" ref="B8:L8" si="0">B2*B3</f>
        <v>70317.597000910522</v>
      </c>
      <c r="C8" s="101">
        <f t="shared" si="0"/>
        <v>70884.498550051067</v>
      </c>
      <c r="D8" s="101">
        <f t="shared" si="0"/>
        <v>71451.496393623544</v>
      </c>
      <c r="E8" s="101">
        <f t="shared" si="0"/>
        <v>72018.589564871814</v>
      </c>
      <c r="F8" s="101">
        <f t="shared" si="0"/>
        <v>72585.777109937699</v>
      </c>
      <c r="G8" s="101">
        <f t="shared" si="0"/>
        <v>73153.058087646554</v>
      </c>
      <c r="H8" s="101">
        <f t="shared" si="0"/>
        <v>73720.431569297216</v>
      </c>
      <c r="I8" s="101">
        <f t="shared" si="0"/>
        <v>74287.896638455961</v>
      </c>
      <c r="J8" s="101">
        <f t="shared" si="0"/>
        <v>74855.452390754683</v>
      </c>
      <c r="K8" s="101">
        <f t="shared" si="0"/>
        <v>75423.097933692974</v>
      </c>
      <c r="L8" s="101">
        <f t="shared" si="0"/>
        <v>75990.832386444061</v>
      </c>
    </row>
    <row r="9" spans="1:12" x14ac:dyDescent="0.25">
      <c r="A9" s="85" t="s">
        <v>132</v>
      </c>
      <c r="B9" s="101">
        <f t="shared" ref="B9:L9" si="1">B2*B4</f>
        <v>13254.456841206624</v>
      </c>
      <c r="C9" s="101">
        <f t="shared" si="1"/>
        <v>14140.23961963102</v>
      </c>
      <c r="D9" s="101">
        <f t="shared" si="1"/>
        <v>15026.276080988187</v>
      </c>
      <c r="E9" s="101">
        <f t="shared" si="1"/>
        <v>15912.563678406766</v>
      </c>
      <c r="F9" s="101">
        <f t="shared" si="1"/>
        <v>16799.09989899438</v>
      </c>
      <c r="G9" s="101">
        <f t="shared" si="1"/>
        <v>17685.882263272881</v>
      </c>
      <c r="H9" s="101">
        <f t="shared" si="1"/>
        <v>18572.908324624794</v>
      </c>
      <c r="I9" s="101">
        <f t="shared" si="1"/>
        <v>19460.175668750708</v>
      </c>
      <c r="J9" s="101">
        <f t="shared" si="1"/>
        <v>20347.68191313744</v>
      </c>
      <c r="K9" s="101">
        <f t="shared" si="1"/>
        <v>21235.424706536647</v>
      </c>
      <c r="L9" s="101">
        <f t="shared" si="1"/>
        <v>22123.401728453617</v>
      </c>
    </row>
    <row r="10" spans="1:12" x14ac:dyDescent="0.25">
      <c r="A10" s="85" t="s">
        <v>133</v>
      </c>
      <c r="B10" s="101">
        <f t="shared" ref="B10:L10" si="2">B2*B5</f>
        <v>243649.42238145974</v>
      </c>
      <c r="C10" s="101">
        <f t="shared" si="2"/>
        <v>243686.51453436949</v>
      </c>
      <c r="D10" s="101">
        <f t="shared" si="2"/>
        <v>243723.35759379956</v>
      </c>
      <c r="E10" s="101">
        <f t="shared" si="2"/>
        <v>243759.95406054502</v>
      </c>
      <c r="F10" s="101">
        <f t="shared" si="2"/>
        <v>243796.30640203689</v>
      </c>
      <c r="G10" s="101">
        <f t="shared" si="2"/>
        <v>243832.4170528962</v>
      </c>
      <c r="H10" s="101">
        <f t="shared" si="2"/>
        <v>243868.28841547799</v>
      </c>
      <c r="I10" s="101">
        <f t="shared" si="2"/>
        <v>243903.92286040389</v>
      </c>
      <c r="J10" s="101">
        <f t="shared" si="2"/>
        <v>243939.32272708433</v>
      </c>
      <c r="K10" s="101">
        <f t="shared" si="2"/>
        <v>243974.49032423046</v>
      </c>
      <c r="L10" s="101">
        <f t="shared" si="2"/>
        <v>244009.42793035635</v>
      </c>
    </row>
    <row r="11" spans="1:12" ht="15.75" thickBot="1" x14ac:dyDescent="0.3">
      <c r="A11" s="90" t="s">
        <v>30</v>
      </c>
      <c r="B11" s="101">
        <f t="shared" ref="B11:L11" si="3">B2*B6</f>
        <v>60697.044113287149</v>
      </c>
      <c r="C11" s="101">
        <f t="shared" si="3"/>
        <v>60706.284373409311</v>
      </c>
      <c r="D11" s="101">
        <f t="shared" si="3"/>
        <v>60715.462580283915</v>
      </c>
      <c r="E11" s="101">
        <f t="shared" si="3"/>
        <v>60724.579356899805</v>
      </c>
      <c r="F11" s="101">
        <f t="shared" si="3"/>
        <v>60733.635317934248</v>
      </c>
      <c r="G11" s="101">
        <f t="shared" si="3"/>
        <v>60742.63106989106</v>
      </c>
      <c r="H11" s="101">
        <f t="shared" si="3"/>
        <v>60751.567211236077</v>
      </c>
      <c r="I11" s="101">
        <f t="shared" si="3"/>
        <v>60760.444332529791</v>
      </c>
      <c r="J11" s="101">
        <f t="shared" si="3"/>
        <v>60769.263016557445</v>
      </c>
      <c r="K11" s="101">
        <f t="shared" si="3"/>
        <v>60778.023838456698</v>
      </c>
      <c r="L11" s="101">
        <f t="shared" si="3"/>
        <v>60786.727365842518</v>
      </c>
    </row>
    <row r="12" spans="1:12" x14ac:dyDescent="0.25">
      <c r="A12" s="85" t="s">
        <v>194</v>
      </c>
      <c r="B12" s="101">
        <f>B2*B7</f>
        <v>37981.975215968028</v>
      </c>
      <c r="C12" s="101">
        <f t="shared" ref="C12:L12" si="4">C2*C7</f>
        <v>37987.757430507074</v>
      </c>
      <c r="D12" s="101">
        <f t="shared" si="4"/>
        <v>37993.500814408733</v>
      </c>
      <c r="E12" s="101">
        <f t="shared" si="4"/>
        <v>37999.205757516465</v>
      </c>
      <c r="F12" s="101">
        <f t="shared" si="4"/>
        <v>38004.872644472693</v>
      </c>
      <c r="G12" s="101">
        <f t="shared" si="4"/>
        <v>38010.501854805167</v>
      </c>
      <c r="H12" s="101">
        <f t="shared" si="4"/>
        <v>38016.093763011755</v>
      </c>
      <c r="I12" s="101">
        <f t="shared" si="4"/>
        <v>38021.648738643475</v>
      </c>
      <c r="J12" s="101">
        <f t="shared" si="4"/>
        <v>38027.16714638588</v>
      </c>
      <c r="K12" s="101">
        <f t="shared" si="4"/>
        <v>38032.649346138933</v>
      </c>
      <c r="L12" s="101">
        <f t="shared" si="4"/>
        <v>38038.09569309518</v>
      </c>
    </row>
    <row r="13" spans="1:12" x14ac:dyDescent="0.25">
      <c r="A13" s="100"/>
      <c r="B13" s="76">
        <f t="shared" ref="B13:L13" si="5">SUBTOTAL(109,B3:B7)</f>
        <v>1.0000000000000002</v>
      </c>
      <c r="C13" s="76">
        <f t="shared" si="5"/>
        <v>1</v>
      </c>
      <c r="D13" s="76">
        <f t="shared" si="5"/>
        <v>1</v>
      </c>
      <c r="E13" s="76">
        <f t="shared" si="5"/>
        <v>1</v>
      </c>
      <c r="F13" s="76">
        <f t="shared" si="5"/>
        <v>1</v>
      </c>
      <c r="G13" s="76">
        <f t="shared" si="5"/>
        <v>1</v>
      </c>
      <c r="H13" s="76">
        <f t="shared" si="5"/>
        <v>1</v>
      </c>
      <c r="I13" s="76">
        <f t="shared" si="5"/>
        <v>1</v>
      </c>
      <c r="J13" s="76">
        <f t="shared" si="5"/>
        <v>1</v>
      </c>
      <c r="K13" s="76">
        <f t="shared" si="5"/>
        <v>1</v>
      </c>
      <c r="L13" s="76">
        <f t="shared" si="5"/>
        <v>0.99999999999999978</v>
      </c>
    </row>
    <row r="15" spans="1:12" x14ac:dyDescent="0.25">
      <c r="A15" s="49">
        <f>(G2-B2)/G2</f>
        <v>1.7359413100946651E-2</v>
      </c>
    </row>
    <row r="17" spans="2:3" x14ac:dyDescent="0.25">
      <c r="B17" t="s">
        <v>145</v>
      </c>
      <c r="C17">
        <f>1-0.25</f>
        <v>0.75</v>
      </c>
    </row>
    <row r="19" spans="2:3" ht="15.75" thickBot="1" x14ac:dyDescent="0.3"/>
    <row r="20" spans="2:3" x14ac:dyDescent="0.25">
      <c r="B20" s="86" t="s">
        <v>129</v>
      </c>
      <c r="C20" s="87">
        <f>'Results - comparison'!C19</f>
        <v>171577.10555570896</v>
      </c>
    </row>
    <row r="21" spans="2:3" x14ac:dyDescent="0.25">
      <c r="B21" s="84" t="s">
        <v>29</v>
      </c>
      <c r="C21" s="88">
        <f>'Results - comparison'!D19</f>
        <v>0.36089568385104859</v>
      </c>
    </row>
    <row r="22" spans="2:3" x14ac:dyDescent="0.25">
      <c r="B22" s="85" t="s">
        <v>132</v>
      </c>
      <c r="C22" s="89">
        <f>'Results - comparison'!E19</f>
        <v>1.8155148292629732E-2</v>
      </c>
    </row>
    <row r="23" spans="2:3" x14ac:dyDescent="0.25">
      <c r="B23" s="85" t="s">
        <v>133</v>
      </c>
      <c r="C23" s="88">
        <f>'Results - comparison'!F19</f>
        <v>0.41044882344474937</v>
      </c>
    </row>
    <row r="24" spans="2:3" ht="15.75" thickBot="1" x14ac:dyDescent="0.3">
      <c r="B24" s="90" t="s">
        <v>30</v>
      </c>
      <c r="C24" s="91">
        <f>'Results - comparison'!G19</f>
        <v>1.5562924701355698E-2</v>
      </c>
    </row>
    <row r="25" spans="2:3" ht="15.75" thickBot="1" x14ac:dyDescent="0.3">
      <c r="B25" s="113" t="s">
        <v>194</v>
      </c>
      <c r="C25" s="91">
        <f>'Results - comparison'!H19</f>
        <v>0.19493741971021655</v>
      </c>
    </row>
    <row r="26" spans="2:3" x14ac:dyDescent="0.25">
      <c r="C26" s="92">
        <f>SUM(C21:C25)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2023-06-01T13:44:11Z</dcterms:modified>
</cp:coreProperties>
</file>