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spårväxel_LCC\"/>
    </mc:Choice>
  </mc:AlternateContent>
  <xr:revisionPtr revIDLastSave="0" documentId="13_ncr:1_{4FA0E5FA-9F49-4EC5-B6BB-F7343D8014A9}" xr6:coauthVersionLast="47" xr6:coauthVersionMax="47" xr10:uidLastSave="{00000000-0000-0000-0000-000000000000}"/>
  <bookViews>
    <workbookView xWindow="-23148" yWindow="-108" windowWidth="23256" windowHeight="13176" tabRatio="807" firstSheet="1" activeTab="1" xr2:uid="{00000000-000D-0000-FFFF-FFFF00000000}"/>
  </bookViews>
  <sheets>
    <sheet name="Maintenance strategy" sheetId="5" r:id="rId1"/>
    <sheet name="Input params" sheetId="1" r:id="rId2"/>
    <sheet name="regression_corr" sheetId="9" r:id="rId3"/>
    <sheet name="LCC_standard" sheetId="2" r:id="rId4"/>
    <sheet name="LCC_current_2018_standard_cross" sheetId="14" r:id="rId5"/>
    <sheet name="Results - Standard" sheetId="3" r:id="rId6"/>
    <sheet name="Results - comparison" sheetId="7" r:id="rId7"/>
    <sheet name="Sensitivity analysi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72" i="1"/>
  <c r="D53" i="1"/>
  <c r="D52" i="1"/>
  <c r="D63" i="1"/>
  <c r="D71" i="1"/>
  <c r="C32" i="2"/>
  <c r="C28" i="2"/>
  <c r="C21" i="2"/>
  <c r="C22" i="2" s="1"/>
  <c r="C23" i="2" s="1"/>
  <c r="D11" i="1"/>
  <c r="D17" i="1"/>
  <c r="C17" i="2"/>
  <c r="A15" i="13"/>
  <c r="C17" i="13"/>
  <c r="C13" i="2"/>
  <c r="C14" i="2" s="1"/>
  <c r="D12" i="2" s="1"/>
  <c r="H12" i="14"/>
  <c r="J56" i="9"/>
  <c r="H40" i="9"/>
  <c r="J27" i="9"/>
  <c r="B38" i="9"/>
  <c r="N57" i="9"/>
  <c r="E39" i="9"/>
  <c r="B39" i="9"/>
  <c r="C38" i="9"/>
  <c r="AA25" i="9"/>
  <c r="AA24" i="9"/>
  <c r="Q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1" i="7"/>
  <c r="I13" i="14" l="1"/>
  <c r="D12" i="14"/>
  <c r="E12" i="14" s="1"/>
  <c r="F12" i="14" s="1"/>
  <c r="G12" i="14" s="1"/>
  <c r="D17" i="14"/>
  <c r="C17" i="14"/>
  <c r="H13" i="14"/>
  <c r="D13" i="2"/>
  <c r="D21" i="2" s="1"/>
  <c r="F13" i="2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B50" i="9"/>
  <c r="B33" i="9"/>
  <c r="B53" i="9"/>
  <c r="B21" i="9" s="1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23" i="9"/>
  <c r="H14" i="14" l="1"/>
  <c r="I12" i="14" s="1"/>
  <c r="D14" i="2"/>
  <c r="E12" i="2" s="1"/>
  <c r="H13" i="2"/>
  <c r="E13" i="2"/>
  <c r="G13" i="2"/>
  <c r="I13" i="2"/>
  <c r="J13" i="2"/>
  <c r="K13" i="2"/>
  <c r="L13" i="2"/>
  <c r="M13" i="2"/>
  <c r="N13" i="2"/>
  <c r="O13" i="2"/>
  <c r="P13" i="2"/>
  <c r="Q13" i="2"/>
  <c r="E14" i="2" l="1"/>
  <c r="F12" i="2" s="1"/>
  <c r="C65" i="9"/>
  <c r="C33" i="9" s="1"/>
  <c r="D65" i="9"/>
  <c r="D33" i="9" s="1"/>
  <c r="E65" i="9"/>
  <c r="E33" i="9" s="1"/>
  <c r="F65" i="9"/>
  <c r="F33" i="9" s="1"/>
  <c r="G65" i="9"/>
  <c r="G33" i="9" s="1"/>
  <c r="H65" i="9"/>
  <c r="H33" i="9" s="1"/>
  <c r="I65" i="9"/>
  <c r="I33" i="9" s="1"/>
  <c r="J65" i="9"/>
  <c r="J33" i="9" s="1"/>
  <c r="K65" i="9"/>
  <c r="K33" i="9" s="1"/>
  <c r="L65" i="9"/>
  <c r="L33" i="9" s="1"/>
  <c r="M65" i="9"/>
  <c r="M33" i="9" s="1"/>
  <c r="N65" i="9"/>
  <c r="N33" i="9" s="1"/>
  <c r="O65" i="9"/>
  <c r="O33" i="9" s="1"/>
  <c r="P65" i="9"/>
  <c r="P33" i="9" s="1"/>
  <c r="B65" i="9"/>
  <c r="C64" i="9"/>
  <c r="C32" i="9" s="1"/>
  <c r="C49" i="9" s="1"/>
  <c r="D64" i="9"/>
  <c r="D32" i="9" s="1"/>
  <c r="E64" i="9"/>
  <c r="E32" i="9" s="1"/>
  <c r="E49" i="9" s="1"/>
  <c r="F64" i="9"/>
  <c r="F32" i="9" s="1"/>
  <c r="F49" i="9" s="1"/>
  <c r="G64" i="9"/>
  <c r="G32" i="9" s="1"/>
  <c r="H64" i="9"/>
  <c r="H32" i="9" s="1"/>
  <c r="I64" i="9"/>
  <c r="I32" i="9" s="1"/>
  <c r="I49" i="9" s="1"/>
  <c r="J64" i="9"/>
  <c r="J32" i="9" s="1"/>
  <c r="K64" i="9"/>
  <c r="K32" i="9" s="1"/>
  <c r="K49" i="9" s="1"/>
  <c r="L64" i="9"/>
  <c r="L32" i="9" s="1"/>
  <c r="M64" i="9"/>
  <c r="M32" i="9" s="1"/>
  <c r="M49" i="9" s="1"/>
  <c r="N64" i="9"/>
  <c r="N32" i="9" s="1"/>
  <c r="N49" i="9" s="1"/>
  <c r="O64" i="9"/>
  <c r="O32" i="9" s="1"/>
  <c r="P64" i="9"/>
  <c r="P32" i="9" s="1"/>
  <c r="B64" i="9"/>
  <c r="B32" i="9" s="1"/>
  <c r="B49" i="9" s="1"/>
  <c r="C63" i="9"/>
  <c r="C31" i="9" s="1"/>
  <c r="D63" i="9"/>
  <c r="D31" i="9" s="1"/>
  <c r="D48" i="9" s="1"/>
  <c r="E63" i="9"/>
  <c r="E31" i="9" s="1"/>
  <c r="F63" i="9"/>
  <c r="F31" i="9" s="1"/>
  <c r="F48" i="9" s="1"/>
  <c r="G63" i="9"/>
  <c r="G31" i="9" s="1"/>
  <c r="G48" i="9" s="1"/>
  <c r="H63" i="9"/>
  <c r="H31" i="9" s="1"/>
  <c r="I63" i="9"/>
  <c r="I31" i="9" s="1"/>
  <c r="J63" i="9"/>
  <c r="J31" i="9" s="1"/>
  <c r="J48" i="9" s="1"/>
  <c r="K63" i="9"/>
  <c r="K31" i="9" s="1"/>
  <c r="L63" i="9"/>
  <c r="L31" i="9" s="1"/>
  <c r="L48" i="9" s="1"/>
  <c r="M63" i="9"/>
  <c r="M31" i="9" s="1"/>
  <c r="N63" i="9"/>
  <c r="N31" i="9" s="1"/>
  <c r="N48" i="9" s="1"/>
  <c r="O63" i="9"/>
  <c r="O31" i="9" s="1"/>
  <c r="O48" i="9" s="1"/>
  <c r="P63" i="9"/>
  <c r="P31" i="9" s="1"/>
  <c r="B63" i="9"/>
  <c r="B31" i="9" s="1"/>
  <c r="B48" i="9" s="1"/>
  <c r="C62" i="9"/>
  <c r="C30" i="9" s="1"/>
  <c r="D62" i="9"/>
  <c r="D30" i="9" s="1"/>
  <c r="E62" i="9"/>
  <c r="E30" i="9" s="1"/>
  <c r="E47" i="9" s="1"/>
  <c r="F62" i="9"/>
  <c r="F30" i="9" s="1"/>
  <c r="G62" i="9"/>
  <c r="G30" i="9" s="1"/>
  <c r="G47" i="9" s="1"/>
  <c r="H62" i="9"/>
  <c r="H30" i="9" s="1"/>
  <c r="H47" i="9" s="1"/>
  <c r="I62" i="9"/>
  <c r="I30" i="9" s="1"/>
  <c r="J62" i="9"/>
  <c r="J30" i="9" s="1"/>
  <c r="K62" i="9"/>
  <c r="K30" i="9" s="1"/>
  <c r="K47" i="9" s="1"/>
  <c r="L62" i="9"/>
  <c r="L30" i="9" s="1"/>
  <c r="M62" i="9"/>
  <c r="M30" i="9" s="1"/>
  <c r="M47" i="9" s="1"/>
  <c r="N62" i="9"/>
  <c r="N30" i="9" s="1"/>
  <c r="O62" i="9"/>
  <c r="O30" i="9" s="1"/>
  <c r="O47" i="9" s="1"/>
  <c r="P62" i="9"/>
  <c r="P30" i="9" s="1"/>
  <c r="P47" i="9" s="1"/>
  <c r="B62" i="9"/>
  <c r="B30" i="9" s="1"/>
  <c r="B47" i="9" s="1"/>
  <c r="B61" i="9"/>
  <c r="B29" i="9" s="1"/>
  <c r="B46" i="9" s="1"/>
  <c r="C61" i="9"/>
  <c r="C29" i="9" s="1"/>
  <c r="C46" i="9" s="1"/>
  <c r="D61" i="9"/>
  <c r="D29" i="9" s="1"/>
  <c r="D46" i="9" s="1"/>
  <c r="E61" i="9"/>
  <c r="E29" i="9" s="1"/>
  <c r="E46" i="9" s="1"/>
  <c r="F61" i="9"/>
  <c r="F29" i="9" s="1"/>
  <c r="G61" i="9"/>
  <c r="G29" i="9" s="1"/>
  <c r="G46" i="9" s="1"/>
  <c r="H61" i="9"/>
  <c r="H29" i="9" s="1"/>
  <c r="H46" i="9" s="1"/>
  <c r="I61" i="9"/>
  <c r="I29" i="9" s="1"/>
  <c r="J61" i="9"/>
  <c r="J29" i="9" s="1"/>
  <c r="K61" i="9"/>
  <c r="K29" i="9" s="1"/>
  <c r="K46" i="9" s="1"/>
  <c r="L61" i="9"/>
  <c r="L29" i="9" s="1"/>
  <c r="L46" i="9" s="1"/>
  <c r="M61" i="9"/>
  <c r="M29" i="9" s="1"/>
  <c r="M46" i="9" s="1"/>
  <c r="N61" i="9"/>
  <c r="N29" i="9" s="1"/>
  <c r="O61" i="9"/>
  <c r="O29" i="9" s="1"/>
  <c r="O46" i="9" s="1"/>
  <c r="P61" i="9"/>
  <c r="P29" i="9" s="1"/>
  <c r="P46" i="9" s="1"/>
  <c r="C60" i="9"/>
  <c r="C28" i="9" s="1"/>
  <c r="D60" i="9"/>
  <c r="D28" i="9" s="1"/>
  <c r="D45" i="9" s="1"/>
  <c r="E60" i="9"/>
  <c r="E28" i="9" s="1"/>
  <c r="E45" i="9" s="1"/>
  <c r="F60" i="9"/>
  <c r="F28" i="9" s="1"/>
  <c r="F45" i="9" s="1"/>
  <c r="G60" i="9"/>
  <c r="G28" i="9" s="1"/>
  <c r="G45" i="9" s="1"/>
  <c r="H60" i="9"/>
  <c r="H28" i="9" s="1"/>
  <c r="I60" i="9"/>
  <c r="I28" i="9" s="1"/>
  <c r="I45" i="9" s="1"/>
  <c r="J60" i="9"/>
  <c r="J28" i="9" s="1"/>
  <c r="J45" i="9" s="1"/>
  <c r="K60" i="9"/>
  <c r="K28" i="9" s="1"/>
  <c r="L60" i="9"/>
  <c r="L28" i="9" s="1"/>
  <c r="L45" i="9" s="1"/>
  <c r="M60" i="9"/>
  <c r="M28" i="9" s="1"/>
  <c r="N60" i="9"/>
  <c r="N28" i="9" s="1"/>
  <c r="N45" i="9" s="1"/>
  <c r="O60" i="9"/>
  <c r="O28" i="9" s="1"/>
  <c r="O45" i="9" s="1"/>
  <c r="P60" i="9"/>
  <c r="P28" i="9" s="1"/>
  <c r="B60" i="9"/>
  <c r="B28" i="9" s="1"/>
  <c r="B45" i="9" s="1"/>
  <c r="C59" i="9"/>
  <c r="C27" i="9" s="1"/>
  <c r="C44" i="9" s="1"/>
  <c r="D59" i="9"/>
  <c r="D27" i="9" s="1"/>
  <c r="E59" i="9"/>
  <c r="E27" i="9" s="1"/>
  <c r="E44" i="9" s="1"/>
  <c r="F59" i="9"/>
  <c r="F27" i="9" s="1"/>
  <c r="F44" i="9" s="1"/>
  <c r="G59" i="9"/>
  <c r="G27" i="9" s="1"/>
  <c r="H59" i="9"/>
  <c r="H27" i="9" s="1"/>
  <c r="H44" i="9" s="1"/>
  <c r="I59" i="9"/>
  <c r="I27" i="9" s="1"/>
  <c r="J59" i="9"/>
  <c r="J44" i="9" s="1"/>
  <c r="K59" i="9"/>
  <c r="K27" i="9" s="1"/>
  <c r="K44" i="9" s="1"/>
  <c r="L59" i="9"/>
  <c r="L27" i="9" s="1"/>
  <c r="M59" i="9"/>
  <c r="M27" i="9" s="1"/>
  <c r="M44" i="9" s="1"/>
  <c r="N59" i="9"/>
  <c r="N27" i="9" s="1"/>
  <c r="N44" i="9" s="1"/>
  <c r="O59" i="9"/>
  <c r="O27" i="9" s="1"/>
  <c r="P59" i="9"/>
  <c r="P27" i="9" s="1"/>
  <c r="P44" i="9" s="1"/>
  <c r="B59" i="9"/>
  <c r="B27" i="9" s="1"/>
  <c r="B44" i="9" s="1"/>
  <c r="C58" i="9"/>
  <c r="C26" i="9" s="1"/>
  <c r="D58" i="9"/>
  <c r="D26" i="9" s="1"/>
  <c r="D43" i="9" s="1"/>
  <c r="E58" i="9"/>
  <c r="E26" i="9" s="1"/>
  <c r="F58" i="9"/>
  <c r="F26" i="9" s="1"/>
  <c r="F43" i="9" s="1"/>
  <c r="G58" i="9"/>
  <c r="G26" i="9" s="1"/>
  <c r="G43" i="9" s="1"/>
  <c r="H58" i="9"/>
  <c r="H26" i="9" s="1"/>
  <c r="I58" i="9"/>
  <c r="I26" i="9" s="1"/>
  <c r="I43" i="9" s="1"/>
  <c r="J58" i="9"/>
  <c r="J26" i="9" s="1"/>
  <c r="K58" i="9"/>
  <c r="K26" i="9" s="1"/>
  <c r="K43" i="9" s="1"/>
  <c r="L58" i="9"/>
  <c r="L26" i="9" s="1"/>
  <c r="M58" i="9"/>
  <c r="M26" i="9" s="1"/>
  <c r="N58" i="9"/>
  <c r="N26" i="9" s="1"/>
  <c r="N43" i="9" s="1"/>
  <c r="O58" i="9"/>
  <c r="O26" i="9" s="1"/>
  <c r="O43" i="9" s="1"/>
  <c r="P58" i="9"/>
  <c r="P26" i="9" s="1"/>
  <c r="B58" i="9"/>
  <c r="B26" i="9" s="1"/>
  <c r="B43" i="9" s="1"/>
  <c r="C57" i="9"/>
  <c r="C25" i="9" s="1"/>
  <c r="D57" i="9"/>
  <c r="D25" i="9" s="1"/>
  <c r="D42" i="9" s="1"/>
  <c r="E57" i="9"/>
  <c r="E25" i="9" s="1"/>
  <c r="F57" i="9"/>
  <c r="F25" i="9" s="1"/>
  <c r="G57" i="9"/>
  <c r="G25" i="9" s="1"/>
  <c r="G42" i="9" s="1"/>
  <c r="H57" i="9"/>
  <c r="H25" i="9" s="1"/>
  <c r="H42" i="9" s="1"/>
  <c r="I57" i="9"/>
  <c r="I25" i="9" s="1"/>
  <c r="J57" i="9"/>
  <c r="J25" i="9" s="1"/>
  <c r="J42" i="9" s="1"/>
  <c r="K57" i="9"/>
  <c r="K25" i="9" s="1"/>
  <c r="L57" i="9"/>
  <c r="L25" i="9" s="1"/>
  <c r="L42" i="9" s="1"/>
  <c r="M57" i="9"/>
  <c r="M25" i="9" s="1"/>
  <c r="M42" i="9" s="1"/>
  <c r="N25" i="9"/>
  <c r="O57" i="9"/>
  <c r="O25" i="9" s="1"/>
  <c r="O42" i="9" s="1"/>
  <c r="P57" i="9"/>
  <c r="P25" i="9" s="1"/>
  <c r="P42" i="9" s="1"/>
  <c r="B57" i="9"/>
  <c r="B25" i="9" s="1"/>
  <c r="B42" i="9" s="1"/>
  <c r="C56" i="9"/>
  <c r="C24" i="9" s="1"/>
  <c r="C41" i="9" s="1"/>
  <c r="D56" i="9"/>
  <c r="D24" i="9" s="1"/>
  <c r="E56" i="9"/>
  <c r="E24" i="9" s="1"/>
  <c r="E41" i="9" s="1"/>
  <c r="F56" i="9"/>
  <c r="F24" i="9" s="1"/>
  <c r="F41" i="9" s="1"/>
  <c r="G56" i="9"/>
  <c r="H56" i="9"/>
  <c r="H24" i="9" s="1"/>
  <c r="I56" i="9"/>
  <c r="I24" i="9" s="1"/>
  <c r="I41" i="9" s="1"/>
  <c r="J24" i="9"/>
  <c r="K56" i="9"/>
  <c r="K24" i="9" s="1"/>
  <c r="K41" i="9" s="1"/>
  <c r="L56" i="9"/>
  <c r="L24" i="9" s="1"/>
  <c r="M56" i="9"/>
  <c r="M24" i="9" s="1"/>
  <c r="M41" i="9" s="1"/>
  <c r="N56" i="9"/>
  <c r="N24" i="9" s="1"/>
  <c r="N41" i="9" s="1"/>
  <c r="O56" i="9"/>
  <c r="O24" i="9" s="1"/>
  <c r="P56" i="9"/>
  <c r="P24" i="9" s="1"/>
  <c r="P41" i="9" s="1"/>
  <c r="B56" i="9"/>
  <c r="B24" i="9" s="1"/>
  <c r="B41" i="9" s="1"/>
  <c r="B55" i="9"/>
  <c r="B23" i="9" s="1"/>
  <c r="B40" i="9" s="1"/>
  <c r="C55" i="9"/>
  <c r="C23" i="9" s="1"/>
  <c r="C40" i="9" s="1"/>
  <c r="D55" i="9"/>
  <c r="D23" i="9" s="1"/>
  <c r="E55" i="9"/>
  <c r="E23" i="9" s="1"/>
  <c r="E40" i="9" s="1"/>
  <c r="F55" i="9"/>
  <c r="F23" i="9" s="1"/>
  <c r="F40" i="9" s="1"/>
  <c r="G55" i="9"/>
  <c r="G23" i="9" s="1"/>
  <c r="H55" i="9"/>
  <c r="H23" i="9" s="1"/>
  <c r="I55" i="9"/>
  <c r="I23" i="9" s="1"/>
  <c r="J55" i="9"/>
  <c r="J23" i="9" s="1"/>
  <c r="J40" i="9" s="1"/>
  <c r="K55" i="9"/>
  <c r="K23" i="9" s="1"/>
  <c r="K40" i="9" s="1"/>
  <c r="L55" i="9"/>
  <c r="L23" i="9" s="1"/>
  <c r="M55" i="9"/>
  <c r="M23" i="9" s="1"/>
  <c r="M40" i="9" s="1"/>
  <c r="N55" i="9"/>
  <c r="N23" i="9" s="1"/>
  <c r="N40" i="9" s="1"/>
  <c r="O55" i="9"/>
  <c r="O23" i="9" s="1"/>
  <c r="P55" i="9"/>
  <c r="P23" i="9" s="1"/>
  <c r="P40" i="9" s="1"/>
  <c r="C54" i="9"/>
  <c r="C22" i="9" s="1"/>
  <c r="D54" i="9"/>
  <c r="D22" i="9" s="1"/>
  <c r="D39" i="9" s="1"/>
  <c r="E54" i="9"/>
  <c r="E22" i="9" s="1"/>
  <c r="F54" i="9"/>
  <c r="F22" i="9" s="1"/>
  <c r="G54" i="9"/>
  <c r="G22" i="9" s="1"/>
  <c r="G39" i="9" s="1"/>
  <c r="H54" i="9"/>
  <c r="H22" i="9" s="1"/>
  <c r="H39" i="9" s="1"/>
  <c r="I54" i="9"/>
  <c r="I22" i="9" s="1"/>
  <c r="J54" i="9"/>
  <c r="J22" i="9" s="1"/>
  <c r="K54" i="9"/>
  <c r="K22" i="9" s="1"/>
  <c r="L54" i="9"/>
  <c r="L22" i="9" s="1"/>
  <c r="L39" i="9" s="1"/>
  <c r="M54" i="9"/>
  <c r="M22" i="9" s="1"/>
  <c r="M39" i="9" s="1"/>
  <c r="N54" i="9"/>
  <c r="N22" i="9" s="1"/>
  <c r="O54" i="9"/>
  <c r="O22" i="9" s="1"/>
  <c r="O39" i="9" s="1"/>
  <c r="P54" i="9"/>
  <c r="P22" i="9" s="1"/>
  <c r="P39" i="9" s="1"/>
  <c r="B54" i="9"/>
  <c r="B22" i="9" s="1"/>
  <c r="P53" i="9"/>
  <c r="P21" i="9" s="1"/>
  <c r="D53" i="9"/>
  <c r="D21" i="9" s="1"/>
  <c r="E53" i="9"/>
  <c r="E21" i="9" s="1"/>
  <c r="F53" i="9"/>
  <c r="F21" i="9" s="1"/>
  <c r="F38" i="9" s="1"/>
  <c r="G53" i="9"/>
  <c r="G21" i="9" s="1"/>
  <c r="H53" i="9"/>
  <c r="H21" i="9" s="1"/>
  <c r="H38" i="9" s="1"/>
  <c r="I53" i="9"/>
  <c r="I21" i="9" s="1"/>
  <c r="I38" i="9" s="1"/>
  <c r="J53" i="9"/>
  <c r="J21" i="9" s="1"/>
  <c r="K53" i="9"/>
  <c r="K21" i="9" s="1"/>
  <c r="L53" i="9"/>
  <c r="L21" i="9" s="1"/>
  <c r="M53" i="9"/>
  <c r="M21" i="9" s="1"/>
  <c r="M38" i="9" s="1"/>
  <c r="N53" i="9"/>
  <c r="N21" i="9" s="1"/>
  <c r="N38" i="9" s="1"/>
  <c r="O53" i="9"/>
  <c r="O21" i="9" s="1"/>
  <c r="C53" i="9"/>
  <c r="F26" i="7"/>
  <c r="G26" i="7"/>
  <c r="F14" i="2" l="1"/>
  <c r="G12" i="2" s="1"/>
  <c r="G14" i="2" s="1"/>
  <c r="J13" i="14"/>
  <c r="J41" i="9"/>
  <c r="I42" i="9"/>
  <c r="P43" i="9"/>
  <c r="H43" i="9"/>
  <c r="O44" i="9"/>
  <c r="G44" i="9"/>
  <c r="L47" i="9"/>
  <c r="D47" i="9"/>
  <c r="K48" i="9"/>
  <c r="C48" i="9"/>
  <c r="J49" i="9"/>
  <c r="L38" i="9"/>
  <c r="K39" i="9"/>
  <c r="I40" i="9"/>
  <c r="M45" i="9"/>
  <c r="C47" i="9"/>
  <c r="K38" i="9"/>
  <c r="J39" i="9"/>
  <c r="J46" i="9"/>
  <c r="J47" i="9"/>
  <c r="I48" i="9"/>
  <c r="P49" i="9"/>
  <c r="H49" i="9"/>
  <c r="J38" i="9"/>
  <c r="I39" i="9"/>
  <c r="O40" i="9"/>
  <c r="G40" i="9"/>
  <c r="O41" i="9"/>
  <c r="N42" i="9"/>
  <c r="F42" i="9"/>
  <c r="M43" i="9"/>
  <c r="E43" i="9"/>
  <c r="L44" i="9"/>
  <c r="D44" i="9"/>
  <c r="K45" i="9"/>
  <c r="C45" i="9"/>
  <c r="I46" i="9"/>
  <c r="I47" i="9"/>
  <c r="P48" i="9"/>
  <c r="H48" i="9"/>
  <c r="O49" i="9"/>
  <c r="G49" i="9"/>
  <c r="E42" i="9"/>
  <c r="L43" i="9"/>
  <c r="C43" i="9"/>
  <c r="N39" i="9"/>
  <c r="F39" i="9"/>
  <c r="L40" i="9"/>
  <c r="D40" i="9"/>
  <c r="L41" i="9"/>
  <c r="D41" i="9"/>
  <c r="K42" i="9"/>
  <c r="C42" i="9"/>
  <c r="J43" i="9"/>
  <c r="I44" i="9"/>
  <c r="P45" i="9"/>
  <c r="H45" i="9"/>
  <c r="N46" i="9"/>
  <c r="F46" i="9"/>
  <c r="N47" i="9"/>
  <c r="F47" i="9"/>
  <c r="M48" i="9"/>
  <c r="E48" i="9"/>
  <c r="L49" i="9"/>
  <c r="D49" i="9"/>
  <c r="E38" i="9"/>
  <c r="C39" i="9"/>
  <c r="P38" i="9"/>
  <c r="O38" i="9"/>
  <c r="G38" i="9"/>
  <c r="C21" i="9"/>
  <c r="G24" i="9"/>
  <c r="G41" i="9" s="1"/>
  <c r="H12" i="2" l="1"/>
  <c r="H14" i="2" s="1"/>
  <c r="I12" i="2" s="1"/>
  <c r="K13" i="14"/>
  <c r="H41" i="9"/>
  <c r="D38" i="9"/>
  <c r="D64" i="1"/>
  <c r="D73" i="1"/>
  <c r="C12" i="13"/>
  <c r="D12" i="13"/>
  <c r="E12" i="13"/>
  <c r="F12" i="13"/>
  <c r="G12" i="13"/>
  <c r="H12" i="13"/>
  <c r="I12" i="13"/>
  <c r="J12" i="13"/>
  <c r="K12" i="13"/>
  <c r="L12" i="13"/>
  <c r="B12" i="13"/>
  <c r="B13" i="13"/>
  <c r="C13" i="13"/>
  <c r="D13" i="13"/>
  <c r="E13" i="13"/>
  <c r="F13" i="13"/>
  <c r="H13" i="13"/>
  <c r="I13" i="13"/>
  <c r="J13" i="13"/>
  <c r="K13" i="13"/>
  <c r="L13" i="13"/>
  <c r="G13" i="13"/>
  <c r="K26" i="7"/>
  <c r="H26" i="7"/>
  <c r="I26" i="7"/>
  <c r="J26" i="7"/>
  <c r="L26" i="7"/>
  <c r="M26" i="7"/>
  <c r="N26" i="7"/>
  <c r="O26" i="7"/>
  <c r="P26" i="7"/>
  <c r="Q26" i="7"/>
  <c r="B9" i="13"/>
  <c r="C8" i="13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G32" i="14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8" i="2"/>
  <c r="D26" i="1"/>
  <c r="D19" i="1"/>
  <c r="D18" i="1"/>
  <c r="C25" i="2" s="1"/>
  <c r="D8" i="1"/>
  <c r="D9" i="1" s="1"/>
  <c r="D7" i="1"/>
  <c r="L13" i="14" l="1"/>
  <c r="L21" i="14" s="1"/>
  <c r="L22" i="14" s="1"/>
  <c r="K21" i="14"/>
  <c r="K22" i="14" s="1"/>
  <c r="I21" i="14"/>
  <c r="I22" i="14" s="1"/>
  <c r="C21" i="14"/>
  <c r="C22" i="14" s="1"/>
  <c r="J21" i="14"/>
  <c r="J22" i="14" s="1"/>
  <c r="D25" i="14"/>
  <c r="D32" i="14"/>
  <c r="E32" i="14"/>
  <c r="E25" i="14"/>
  <c r="D21" i="14"/>
  <c r="D22" i="14" s="1"/>
  <c r="E21" i="14"/>
  <c r="E22" i="14" s="1"/>
  <c r="F25" i="14"/>
  <c r="F21" i="14"/>
  <c r="F22" i="14" s="1"/>
  <c r="G25" i="14"/>
  <c r="F32" i="14"/>
  <c r="G21" i="14"/>
  <c r="G22" i="14" s="1"/>
  <c r="H21" i="14"/>
  <c r="H22" i="14" s="1"/>
  <c r="C27" i="2"/>
  <c r="I14" i="14" l="1"/>
  <c r="J12" i="14" s="1"/>
  <c r="M13" i="14"/>
  <c r="M21" i="14" s="1"/>
  <c r="M22" i="14" s="1"/>
  <c r="E26" i="14"/>
  <c r="E27" i="14"/>
  <c r="H32" i="14"/>
  <c r="H25" i="14"/>
  <c r="C32" i="14"/>
  <c r="C25" i="14"/>
  <c r="D26" i="14"/>
  <c r="D27" i="14"/>
  <c r="G27" i="14"/>
  <c r="G26" i="14"/>
  <c r="F27" i="14"/>
  <c r="F26" i="14"/>
  <c r="N13" i="14" l="1"/>
  <c r="N21" i="14" s="1"/>
  <c r="N22" i="14" s="1"/>
  <c r="I25" i="14"/>
  <c r="I28" i="14" s="1"/>
  <c r="C26" i="14"/>
  <c r="C27" i="14"/>
  <c r="H27" i="14"/>
  <c r="H26" i="14"/>
  <c r="J14" i="14" l="1"/>
  <c r="K12" i="14" s="1"/>
  <c r="O13" i="14"/>
  <c r="O21" i="14" s="1"/>
  <c r="O22" i="14" s="1"/>
  <c r="I32" i="14"/>
  <c r="K14" i="14" l="1"/>
  <c r="Q13" i="14"/>
  <c r="Q21" i="14" s="1"/>
  <c r="Q22" i="14" s="1"/>
  <c r="P13" i="14"/>
  <c r="P21" i="14" s="1"/>
  <c r="P22" i="14" s="1"/>
  <c r="J25" i="14"/>
  <c r="J26" i="14" s="1"/>
  <c r="J32" i="14"/>
  <c r="I27" i="14"/>
  <c r="I26" i="14"/>
  <c r="L12" i="14" l="1"/>
  <c r="L14" i="14" s="1"/>
  <c r="M12" i="14" s="1"/>
  <c r="M14" i="14" s="1"/>
  <c r="N12" i="14" s="1"/>
  <c r="K25" i="14"/>
  <c r="K27" i="14" s="1"/>
  <c r="K32" i="14"/>
  <c r="J27" i="14"/>
  <c r="K26" i="14" l="1"/>
  <c r="N14" i="14"/>
  <c r="O12" i="14" s="1"/>
  <c r="L25" i="14"/>
  <c r="L32" i="14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C11" i="13"/>
  <c r="D11" i="13"/>
  <c r="E11" i="13"/>
  <c r="F11" i="13"/>
  <c r="G11" i="13"/>
  <c r="H11" i="13"/>
  <c r="I11" i="13"/>
  <c r="J11" i="13"/>
  <c r="K11" i="13"/>
  <c r="L11" i="13"/>
  <c r="B11" i="13"/>
  <c r="D10" i="13"/>
  <c r="C10" i="13"/>
  <c r="E10" i="13"/>
  <c r="F10" i="13"/>
  <c r="G10" i="13"/>
  <c r="H10" i="13"/>
  <c r="I10" i="13"/>
  <c r="J10" i="13"/>
  <c r="K10" i="13"/>
  <c r="L10" i="13"/>
  <c r="B10" i="13"/>
  <c r="C9" i="13"/>
  <c r="D9" i="13"/>
  <c r="E9" i="13"/>
  <c r="F9" i="13"/>
  <c r="G9" i="13"/>
  <c r="H9" i="13"/>
  <c r="I9" i="13"/>
  <c r="J9" i="13"/>
  <c r="K9" i="13"/>
  <c r="L9" i="13"/>
  <c r="E8" i="13"/>
  <c r="D8" i="13"/>
  <c r="F8" i="13"/>
  <c r="G8" i="13"/>
  <c r="H8" i="13"/>
  <c r="I8" i="13"/>
  <c r="J8" i="13"/>
  <c r="K8" i="13"/>
  <c r="L8" i="13"/>
  <c r="B8" i="13"/>
  <c r="O14" i="14" l="1"/>
  <c r="P12" i="14" s="1"/>
  <c r="M32" i="14"/>
  <c r="M25" i="14"/>
  <c r="L27" i="14"/>
  <c r="L26" i="14"/>
  <c r="G17" i="14"/>
  <c r="G19" i="14" s="1"/>
  <c r="G8" i="7" s="1"/>
  <c r="F17" i="14"/>
  <c r="F19" i="14" s="1"/>
  <c r="F8" i="7" s="1"/>
  <c r="C19" i="14"/>
  <c r="C8" i="7" s="1"/>
  <c r="D19" i="14"/>
  <c r="D8" i="7" s="1"/>
  <c r="H17" i="14"/>
  <c r="H19" i="14" s="1"/>
  <c r="H8" i="7" s="1"/>
  <c r="E17" i="14"/>
  <c r="E19" i="14" s="1"/>
  <c r="E8" i="7" s="1"/>
  <c r="I17" i="14"/>
  <c r="I19" i="14" s="1"/>
  <c r="I8" i="7" s="1"/>
  <c r="J17" i="14"/>
  <c r="J19" i="14" s="1"/>
  <c r="J8" i="7" s="1"/>
  <c r="L17" i="14"/>
  <c r="L19" i="14" s="1"/>
  <c r="L8" i="7" s="1"/>
  <c r="K17" i="14"/>
  <c r="K19" i="14" s="1"/>
  <c r="K8" i="7" s="1"/>
  <c r="M17" i="14"/>
  <c r="M19" i="14" s="1"/>
  <c r="M8" i="7" s="1"/>
  <c r="N25" i="14" l="1"/>
  <c r="R8" i="7"/>
  <c r="M27" i="14"/>
  <c r="M26" i="14"/>
  <c r="H7" i="1"/>
  <c r="N32" i="14" l="1"/>
  <c r="N17" i="14"/>
  <c r="N19" i="14" s="1"/>
  <c r="N8" i="7" s="1"/>
  <c r="N26" i="14"/>
  <c r="N27" i="14"/>
  <c r="C33" i="2"/>
  <c r="C3" i="5"/>
  <c r="D50" i="1"/>
  <c r="D54" i="1" s="1"/>
  <c r="D49" i="1"/>
  <c r="D48" i="1"/>
  <c r="D10" i="1"/>
  <c r="P14" i="14" l="1"/>
  <c r="Q12" i="14" s="1"/>
  <c r="E28" i="14"/>
  <c r="E29" i="14" s="1"/>
  <c r="E10" i="7" s="1"/>
  <c r="G28" i="14"/>
  <c r="G29" i="14" s="1"/>
  <c r="G10" i="7" s="1"/>
  <c r="F28" i="14"/>
  <c r="F29" i="14" s="1"/>
  <c r="F10" i="7" s="1"/>
  <c r="D28" i="14"/>
  <c r="D29" i="14" s="1"/>
  <c r="D10" i="7" s="1"/>
  <c r="H28" i="14"/>
  <c r="H29" i="14" s="1"/>
  <c r="H10" i="7" s="1"/>
  <c r="C28" i="14"/>
  <c r="C29" i="14" s="1"/>
  <c r="C10" i="7" s="1"/>
  <c r="I29" i="14"/>
  <c r="I10" i="7" s="1"/>
  <c r="L28" i="14"/>
  <c r="L29" i="14" s="1"/>
  <c r="L10" i="7" s="1"/>
  <c r="K28" i="14"/>
  <c r="K29" i="14" s="1"/>
  <c r="K10" i="7" s="1"/>
  <c r="J28" i="14"/>
  <c r="J29" i="14" s="1"/>
  <c r="J10" i="7" s="1"/>
  <c r="M28" i="14"/>
  <c r="M29" i="14" s="1"/>
  <c r="M10" i="7" s="1"/>
  <c r="N28" i="14"/>
  <c r="N29" i="14" s="1"/>
  <c r="N10" i="7" s="1"/>
  <c r="K23" i="14"/>
  <c r="K9" i="7" s="1"/>
  <c r="F23" i="14"/>
  <c r="F9" i="7" s="1"/>
  <c r="Q23" i="14"/>
  <c r="Q9" i="7" s="1"/>
  <c r="C23" i="14"/>
  <c r="C9" i="7" s="1"/>
  <c r="P23" i="14"/>
  <c r="P9" i="7" s="1"/>
  <c r="J23" i="14"/>
  <c r="J9" i="7" s="1"/>
  <c r="D23" i="14"/>
  <c r="D9" i="7" s="1"/>
  <c r="L23" i="14"/>
  <c r="L9" i="7" s="1"/>
  <c r="H23" i="14"/>
  <c r="H9" i="7" s="1"/>
  <c r="E23" i="14"/>
  <c r="E9" i="7" s="1"/>
  <c r="I23" i="14"/>
  <c r="I9" i="7" s="1"/>
  <c r="G23" i="14"/>
  <c r="G9" i="7" s="1"/>
  <c r="M23" i="14"/>
  <c r="M9" i="7" s="1"/>
  <c r="N23" i="14"/>
  <c r="N9" i="7" s="1"/>
  <c r="O23" i="14"/>
  <c r="O9" i="7" s="1"/>
  <c r="H9" i="1"/>
  <c r="D65" i="1" s="1"/>
  <c r="O17" i="14" l="1"/>
  <c r="O19" i="14" s="1"/>
  <c r="O8" i="7" s="1"/>
  <c r="O32" i="14"/>
  <c r="O25" i="14"/>
  <c r="O26" i="14" s="1"/>
  <c r="P25" i="14"/>
  <c r="P28" i="14" s="1"/>
  <c r="P17" i="14"/>
  <c r="P19" i="14" s="1"/>
  <c r="P8" i="7" s="1"/>
  <c r="Q14" i="14"/>
  <c r="P32" i="14"/>
  <c r="R10" i="7"/>
  <c r="R9" i="7"/>
  <c r="C26" i="2"/>
  <c r="P27" i="14" l="1"/>
  <c r="O28" i="14"/>
  <c r="Q32" i="14"/>
  <c r="Q33" i="14" s="1"/>
  <c r="P26" i="14"/>
  <c r="O27" i="14"/>
  <c r="G33" i="14"/>
  <c r="N33" i="14"/>
  <c r="F33" i="14"/>
  <c r="I33" i="14"/>
  <c r="E33" i="14"/>
  <c r="J33" i="14"/>
  <c r="O33" i="14"/>
  <c r="D33" i="14"/>
  <c r="K33" i="14"/>
  <c r="C33" i="14"/>
  <c r="P33" i="14"/>
  <c r="H33" i="14"/>
  <c r="L33" i="14"/>
  <c r="M33" i="14"/>
  <c r="C29" i="2"/>
  <c r="C6" i="7" s="1"/>
  <c r="O29" i="14" l="1"/>
  <c r="O10" i="7" s="1"/>
  <c r="P29" i="14"/>
  <c r="P10" i="7" s="1"/>
  <c r="Q17" i="14"/>
  <c r="Q19" i="14" s="1"/>
  <c r="Q8" i="7" s="1"/>
  <c r="Q25" i="14"/>
  <c r="Q26" i="14" s="1"/>
  <c r="C11" i="7"/>
  <c r="L11" i="7"/>
  <c r="L13" i="7" s="1"/>
  <c r="L15" i="7" s="1"/>
  <c r="J11" i="7"/>
  <c r="J13" i="7" s="1"/>
  <c r="J15" i="7" s="1"/>
  <c r="M11" i="7"/>
  <c r="M13" i="7" s="1"/>
  <c r="M15" i="7" s="1"/>
  <c r="E11" i="7"/>
  <c r="E13" i="7" s="1"/>
  <c r="E15" i="7" s="1"/>
  <c r="N11" i="7"/>
  <c r="N13" i="7" s="1"/>
  <c r="N15" i="7" s="1"/>
  <c r="K11" i="7"/>
  <c r="K13" i="7" s="1"/>
  <c r="K15" i="7" s="1"/>
  <c r="G11" i="7"/>
  <c r="G13" i="7" s="1"/>
  <c r="G15" i="7" s="1"/>
  <c r="O11" i="7"/>
  <c r="Q11" i="7"/>
  <c r="H11" i="7"/>
  <c r="D11" i="7"/>
  <c r="I11" i="7"/>
  <c r="I13" i="7" s="1"/>
  <c r="P11" i="7"/>
  <c r="F11" i="7"/>
  <c r="F13" i="7" s="1"/>
  <c r="F15" i="7" s="1"/>
  <c r="B6" i="3"/>
  <c r="C7" i="7"/>
  <c r="B5" i="3"/>
  <c r="D13" i="7" l="1"/>
  <c r="D15" i="7" s="1"/>
  <c r="C13" i="7"/>
  <c r="C15" i="7" s="1"/>
  <c r="P13" i="7"/>
  <c r="P15" i="7" s="1"/>
  <c r="O13" i="7"/>
  <c r="O15" i="7" s="1"/>
  <c r="Q27" i="14"/>
  <c r="Q28" i="14"/>
  <c r="R11" i="7"/>
  <c r="I15" i="7"/>
  <c r="H13" i="7"/>
  <c r="G29" i="7" l="1"/>
  <c r="H18" i="7"/>
  <c r="D18" i="7"/>
  <c r="F18" i="7"/>
  <c r="E18" i="7"/>
  <c r="G18" i="7"/>
  <c r="E29" i="7"/>
  <c r="D29" i="7"/>
  <c r="C29" i="7"/>
  <c r="Q29" i="14"/>
  <c r="Q10" i="7" s="1"/>
  <c r="Q13" i="7" s="1"/>
  <c r="Q15" i="7" s="1"/>
  <c r="R13" i="7"/>
  <c r="F29" i="7"/>
  <c r="H15" i="7"/>
  <c r="I18" i="7" l="1"/>
  <c r="R15" i="7"/>
  <c r="H29" i="7"/>
  <c r="N29" i="7"/>
  <c r="M29" i="7"/>
  <c r="K29" i="7"/>
  <c r="I29" i="7"/>
  <c r="L29" i="7"/>
  <c r="C18" i="7" s="1"/>
  <c r="F21" i="7" s="1"/>
  <c r="J29" i="7"/>
  <c r="Q29" i="7"/>
  <c r="O29" i="7"/>
  <c r="P29" i="7"/>
  <c r="G21" i="7" l="1"/>
  <c r="E21" i="7"/>
  <c r="D21" i="7"/>
  <c r="H21" i="7"/>
  <c r="D22" i="2"/>
  <c r="D23" i="2" s="1"/>
  <c r="E21" i="2"/>
  <c r="E22" i="2" s="1"/>
  <c r="E23" i="2" s="1"/>
  <c r="D4" i="3" s="1"/>
  <c r="F21" i="2"/>
  <c r="F22" i="2" s="1"/>
  <c r="F23" i="2" s="1"/>
  <c r="G21" i="2"/>
  <c r="G22" i="2" s="1"/>
  <c r="G23" i="2" s="1"/>
  <c r="H21" i="2"/>
  <c r="H22" i="2" s="1"/>
  <c r="H23" i="2" s="1"/>
  <c r="I21" i="2"/>
  <c r="I22" i="2" s="1"/>
  <c r="I23" i="2" s="1"/>
  <c r="J21" i="2"/>
  <c r="J22" i="2" s="1"/>
  <c r="J23" i="2" s="1"/>
  <c r="K21" i="2"/>
  <c r="K22" i="2" s="1"/>
  <c r="K23" i="2" s="1"/>
  <c r="L21" i="2"/>
  <c r="L22" i="2" s="1"/>
  <c r="L23" i="2" s="1"/>
  <c r="M21" i="2"/>
  <c r="M22" i="2" s="1"/>
  <c r="M23" i="2" s="1"/>
  <c r="N21" i="2"/>
  <c r="N22" i="2" s="1"/>
  <c r="N23" i="2" s="1"/>
  <c r="O21" i="2"/>
  <c r="O22" i="2" s="1"/>
  <c r="O23" i="2" s="1"/>
  <c r="P21" i="2"/>
  <c r="P22" i="2" s="1"/>
  <c r="P23" i="2" s="1"/>
  <c r="Q21" i="2"/>
  <c r="Q22" i="2" s="1"/>
  <c r="Q23" i="2" s="1"/>
  <c r="C19" i="2"/>
  <c r="C4" i="7" s="1"/>
  <c r="B3" i="3" l="1"/>
  <c r="D5" i="7"/>
  <c r="C4" i="3"/>
  <c r="K4" i="3"/>
  <c r="L5" i="7"/>
  <c r="G4" i="3"/>
  <c r="H5" i="7"/>
  <c r="O4" i="3"/>
  <c r="P5" i="7"/>
  <c r="B4" i="3"/>
  <c r="C5" i="7"/>
  <c r="I4" i="3"/>
  <c r="J5" i="7"/>
  <c r="K5" i="7"/>
  <c r="J4" i="3"/>
  <c r="P4" i="3"/>
  <c r="Q5" i="7"/>
  <c r="G5" i="7"/>
  <c r="F4" i="3"/>
  <c r="E4" i="3"/>
  <c r="F5" i="7"/>
  <c r="N4" i="3"/>
  <c r="O5" i="7"/>
  <c r="E5" i="7"/>
  <c r="M4" i="3"/>
  <c r="N5" i="7"/>
  <c r="H4" i="3"/>
  <c r="I5" i="7"/>
  <c r="L4" i="3"/>
  <c r="M5" i="7"/>
  <c r="D25" i="2"/>
  <c r="D17" i="2"/>
  <c r="D19" i="2" s="1"/>
  <c r="D32" i="2"/>
  <c r="D33" i="2" s="1"/>
  <c r="C12" i="7" l="1"/>
  <c r="E32" i="2"/>
  <c r="E33" i="2" s="1"/>
  <c r="E7" i="7" s="1"/>
  <c r="E17" i="2"/>
  <c r="E19" i="2" s="1"/>
  <c r="E4" i="7" s="1"/>
  <c r="E25" i="2"/>
  <c r="E28" i="2" s="1"/>
  <c r="B8" i="3"/>
  <c r="R5" i="7"/>
  <c r="D4" i="7"/>
  <c r="C3" i="3"/>
  <c r="D28" i="2"/>
  <c r="D27" i="2"/>
  <c r="D26" i="2"/>
  <c r="C6" i="3"/>
  <c r="D7" i="7"/>
  <c r="C14" i="7" l="1"/>
  <c r="C30" i="7" s="1"/>
  <c r="F17" i="2"/>
  <c r="F19" i="2" s="1"/>
  <c r="E26" i="2"/>
  <c r="E27" i="2"/>
  <c r="D3" i="3"/>
  <c r="D6" i="3"/>
  <c r="D29" i="2"/>
  <c r="D6" i="7" s="1"/>
  <c r="D12" i="7" s="1"/>
  <c r="F4" i="7" l="1"/>
  <c r="E3" i="3"/>
  <c r="F25" i="2"/>
  <c r="F28" i="2" s="1"/>
  <c r="F32" i="2"/>
  <c r="F33" i="2" s="1"/>
  <c r="E6" i="3" s="1"/>
  <c r="I14" i="2"/>
  <c r="J12" i="2" s="1"/>
  <c r="E29" i="2"/>
  <c r="D5" i="3" s="1"/>
  <c r="D8" i="3" s="1"/>
  <c r="C5" i="3"/>
  <c r="C8" i="3" s="1"/>
  <c r="D14" i="7" l="1"/>
  <c r="D30" i="7" s="1"/>
  <c r="F27" i="2"/>
  <c r="J14" i="2"/>
  <c r="K12" i="2" s="1"/>
  <c r="F26" i="2"/>
  <c r="F7" i="7"/>
  <c r="E6" i="7"/>
  <c r="E12" i="7" l="1"/>
  <c r="F29" i="2"/>
  <c r="F6" i="7" s="1"/>
  <c r="F12" i="7" s="1"/>
  <c r="G25" i="2"/>
  <c r="G32" i="2"/>
  <c r="G33" i="2" s="1"/>
  <c r="G17" i="2"/>
  <c r="G19" i="2" s="1"/>
  <c r="E14" i="7" l="1"/>
  <c r="E30" i="7" s="1"/>
  <c r="E5" i="3"/>
  <c r="E8" i="3" s="1"/>
  <c r="K14" i="2"/>
  <c r="L12" i="2" s="1"/>
  <c r="G4" i="7"/>
  <c r="F3" i="3"/>
  <c r="G7" i="7"/>
  <c r="F6" i="3"/>
  <c r="G27" i="2"/>
  <c r="G26" i="2"/>
  <c r="G28" i="2"/>
  <c r="F14" i="7"/>
  <c r="F30" i="7" l="1"/>
  <c r="H25" i="2"/>
  <c r="H28" i="2" s="1"/>
  <c r="H32" i="2"/>
  <c r="H33" i="2" s="1"/>
  <c r="G6" i="3" s="1"/>
  <c r="H17" i="2"/>
  <c r="H19" i="2" s="1"/>
  <c r="H4" i="7" s="1"/>
  <c r="L14" i="2"/>
  <c r="M12" i="2" s="1"/>
  <c r="I17" i="2"/>
  <c r="I19" i="2" s="1"/>
  <c r="I25" i="2"/>
  <c r="I32" i="2"/>
  <c r="I33" i="2" s="1"/>
  <c r="G29" i="2"/>
  <c r="G3" i="3" l="1"/>
  <c r="H27" i="2"/>
  <c r="H26" i="2"/>
  <c r="H7" i="7"/>
  <c r="J32" i="2"/>
  <c r="J33" i="2" s="1"/>
  <c r="J25" i="2"/>
  <c r="M14" i="2"/>
  <c r="N12" i="2" s="1"/>
  <c r="J17" i="2"/>
  <c r="J19" i="2" s="1"/>
  <c r="F5" i="3"/>
  <c r="F8" i="3" s="1"/>
  <c r="G6" i="7"/>
  <c r="G12" i="7" s="1"/>
  <c r="I26" i="2"/>
  <c r="I27" i="2"/>
  <c r="I28" i="2"/>
  <c r="H6" i="3"/>
  <c r="I7" i="7"/>
  <c r="H3" i="3"/>
  <c r="I4" i="7"/>
  <c r="G14" i="7" l="1"/>
  <c r="G30" i="7" s="1"/>
  <c r="H29" i="2"/>
  <c r="G5" i="3" s="1"/>
  <c r="G8" i="3" s="1"/>
  <c r="I3" i="3"/>
  <c r="J4" i="7"/>
  <c r="K17" i="2"/>
  <c r="K19" i="2" s="1"/>
  <c r="N14" i="2"/>
  <c r="O12" i="2" s="1"/>
  <c r="K32" i="2"/>
  <c r="K33" i="2" s="1"/>
  <c r="K25" i="2"/>
  <c r="J26" i="2"/>
  <c r="J27" i="2"/>
  <c r="J28" i="2"/>
  <c r="I29" i="2"/>
  <c r="I6" i="3"/>
  <c r="J7" i="7"/>
  <c r="H6" i="7" l="1"/>
  <c r="H12" i="7" s="1"/>
  <c r="L32" i="2"/>
  <c r="L33" i="2" s="1"/>
  <c r="O14" i="2"/>
  <c r="P12" i="2" s="1"/>
  <c r="L17" i="2"/>
  <c r="L19" i="2" s="1"/>
  <c r="L25" i="2"/>
  <c r="K27" i="2"/>
  <c r="K26" i="2"/>
  <c r="K28" i="2"/>
  <c r="K7" i="7"/>
  <c r="J6" i="3"/>
  <c r="K4" i="7"/>
  <c r="J3" i="3"/>
  <c r="J29" i="2"/>
  <c r="H5" i="3"/>
  <c r="H8" i="3" s="1"/>
  <c r="I6" i="7"/>
  <c r="I12" i="7" s="1"/>
  <c r="I14" i="7" s="1"/>
  <c r="H14" i="7" l="1"/>
  <c r="H30" i="7" s="1"/>
  <c r="K29" i="2"/>
  <c r="K6" i="7" s="1"/>
  <c r="J6" i="7"/>
  <c r="J12" i="7" s="1"/>
  <c r="J14" i="7" s="1"/>
  <c r="I5" i="3"/>
  <c r="I8" i="3" s="1"/>
  <c r="L28" i="2"/>
  <c r="L27" i="2"/>
  <c r="L26" i="2"/>
  <c r="L4" i="7"/>
  <c r="K3" i="3"/>
  <c r="P14" i="2"/>
  <c r="Q12" i="2" s="1"/>
  <c r="M32" i="2"/>
  <c r="M33" i="2" s="1"/>
  <c r="M17" i="2"/>
  <c r="M19" i="2" s="1"/>
  <c r="M25" i="2"/>
  <c r="L7" i="7"/>
  <c r="K6" i="3"/>
  <c r="J30" i="7" l="1"/>
  <c r="I30" i="7"/>
  <c r="K12" i="7"/>
  <c r="J5" i="3"/>
  <c r="J8" i="3" s="1"/>
  <c r="L29" i="2"/>
  <c r="M28" i="2"/>
  <c r="M26" i="2"/>
  <c r="M27" i="2"/>
  <c r="M7" i="7"/>
  <c r="R7" i="7" s="1"/>
  <c r="L6" i="3"/>
  <c r="N32" i="2"/>
  <c r="N33" i="2" s="1"/>
  <c r="Q14" i="2"/>
  <c r="N25" i="2"/>
  <c r="N17" i="2"/>
  <c r="N19" i="2" s="1"/>
  <c r="L3" i="3"/>
  <c r="M4" i="7"/>
  <c r="R4" i="7" s="1"/>
  <c r="K14" i="7" l="1"/>
  <c r="K30" i="7" s="1"/>
  <c r="O17" i="2"/>
  <c r="O19" i="2" s="1"/>
  <c r="O25" i="2"/>
  <c r="O32" i="2"/>
  <c r="O33" i="2" s="1"/>
  <c r="N7" i="7"/>
  <c r="M6" i="3"/>
  <c r="L6" i="7"/>
  <c r="K5" i="3"/>
  <c r="K8" i="3" s="1"/>
  <c r="M29" i="2"/>
  <c r="N28" i="2"/>
  <c r="N26" i="2"/>
  <c r="N27" i="2"/>
  <c r="M3" i="3"/>
  <c r="N4" i="7"/>
  <c r="O7" i="7" l="1"/>
  <c r="N6" i="3"/>
  <c r="O28" i="2"/>
  <c r="O26" i="2"/>
  <c r="O27" i="2"/>
  <c r="L12" i="7"/>
  <c r="L5" i="3"/>
  <c r="L8" i="3" s="1"/>
  <c r="M6" i="7"/>
  <c r="M12" i="7" s="1"/>
  <c r="M14" i="7" s="1"/>
  <c r="N3" i="3"/>
  <c r="O4" i="7"/>
  <c r="N29" i="2"/>
  <c r="P17" i="2"/>
  <c r="P19" i="2" s="1"/>
  <c r="P25" i="2"/>
  <c r="P32" i="2"/>
  <c r="P33" i="2" s="1"/>
  <c r="E19" i="7" l="1"/>
  <c r="C22" i="13" s="1"/>
  <c r="H19" i="7"/>
  <c r="C25" i="13" s="1"/>
  <c r="D19" i="7"/>
  <c r="G19" i="7"/>
  <c r="C24" i="13" s="1"/>
  <c r="F19" i="7"/>
  <c r="C23" i="13" s="1"/>
  <c r="P7" i="7"/>
  <c r="O6" i="3"/>
  <c r="R6" i="7"/>
  <c r="P28" i="2"/>
  <c r="P27" i="2"/>
  <c r="P26" i="2"/>
  <c r="Q17" i="2"/>
  <c r="Q19" i="2" s="1"/>
  <c r="Q32" i="2"/>
  <c r="Q33" i="2" s="1"/>
  <c r="Q25" i="2"/>
  <c r="M5" i="3"/>
  <c r="M8" i="3" s="1"/>
  <c r="B9" i="3" s="1"/>
  <c r="B10" i="3" s="1"/>
  <c r="N6" i="7"/>
  <c r="N12" i="7" s="1"/>
  <c r="N14" i="7" s="1"/>
  <c r="O3" i="3"/>
  <c r="P4" i="7"/>
  <c r="L14" i="7"/>
  <c r="R12" i="7"/>
  <c r="O29" i="2"/>
  <c r="C21" i="13" l="1"/>
  <c r="C26" i="13" s="1"/>
  <c r="I19" i="7"/>
  <c r="L30" i="7"/>
  <c r="C19" i="7" s="1"/>
  <c r="C20" i="13" s="1"/>
  <c r="N30" i="7"/>
  <c r="M30" i="7"/>
  <c r="R14" i="7"/>
  <c r="P29" i="2"/>
  <c r="P3" i="3"/>
  <c r="Q4" i="7"/>
  <c r="Q26" i="2"/>
  <c r="Q28" i="2"/>
  <c r="Q27" i="2"/>
  <c r="N5" i="3"/>
  <c r="N8" i="3" s="1"/>
  <c r="O6" i="7"/>
  <c r="O12" i="7" s="1"/>
  <c r="O14" i="7" s="1"/>
  <c r="Q7" i="7"/>
  <c r="P6" i="3"/>
  <c r="D22" i="7" l="1"/>
  <c r="G22" i="7"/>
  <c r="E22" i="7"/>
  <c r="F22" i="7"/>
  <c r="H22" i="7"/>
  <c r="O30" i="7"/>
  <c r="Q29" i="2"/>
  <c r="P6" i="7"/>
  <c r="P12" i="7" s="1"/>
  <c r="P14" i="7" s="1"/>
  <c r="P30" i="7" s="1"/>
  <c r="O5" i="3"/>
  <c r="O8" i="3" s="1"/>
  <c r="P5" i="3" l="1"/>
  <c r="P8" i="3" s="1"/>
  <c r="Q6" i="7"/>
  <c r="Q12" i="7" s="1"/>
  <c r="Q14" i="7" s="1"/>
  <c r="Q30" i="7" l="1"/>
</calcChain>
</file>

<file path=xl/sharedStrings.xml><?xml version="1.0" encoding="utf-8"?>
<sst xmlns="http://schemas.openxmlformats.org/spreadsheetml/2006/main" count="469" uniqueCount="222">
  <si>
    <t>Category</t>
  </si>
  <si>
    <t>Parameter</t>
  </si>
  <si>
    <t>Value</t>
  </si>
  <si>
    <t>General</t>
  </si>
  <si>
    <t>unit</t>
  </si>
  <si>
    <t>Traffic at Kimstad</t>
  </si>
  <si>
    <t>Direct maintenance</t>
  </si>
  <si>
    <t>Discounting rate</t>
  </si>
  <si>
    <t>trainload</t>
  </si>
  <si>
    <t>SEK per activity</t>
  </si>
  <si>
    <t>K</t>
  </si>
  <si>
    <t>J</t>
  </si>
  <si>
    <t>B</t>
  </si>
  <si>
    <t>C</t>
  </si>
  <si>
    <t>SEK per person</t>
  </si>
  <si>
    <t>SEK per ton</t>
  </si>
  <si>
    <t>MGT</t>
  </si>
  <si>
    <t>Socio-economics for train capacity</t>
  </si>
  <si>
    <t>Socio-economics for disruptions/delays</t>
  </si>
  <si>
    <t>nb. per year</t>
  </si>
  <si>
    <t>avg. distances of trains passing Kimstad</t>
  </si>
  <si>
    <t>avg. travel time of trains passing Kimstad</t>
  </si>
  <si>
    <t>km</t>
  </si>
  <si>
    <t>h</t>
  </si>
  <si>
    <t>freight</t>
  </si>
  <si>
    <t>intercity</t>
  </si>
  <si>
    <t>commuter</t>
  </si>
  <si>
    <t>Year</t>
  </si>
  <si>
    <t>Actual observations (see figure for Kimstad)</t>
  </si>
  <si>
    <t>Direct maintenance costs</t>
  </si>
  <si>
    <t>Disruption costs</t>
  </si>
  <si>
    <t>MGT per year</t>
  </si>
  <si>
    <t>reference</t>
  </si>
  <si>
    <t>Lupp data</t>
  </si>
  <si>
    <t>passenger</t>
  </si>
  <si>
    <t>&gt;&gt;&gt; intercity</t>
  </si>
  <si>
    <t>&gt;&gt;&gt; commuter</t>
  </si>
  <si>
    <t>Nelldal et al. (2019)</t>
  </si>
  <si>
    <t>avg. number (day+night)</t>
  </si>
  <si>
    <t>avg. number (night)</t>
  </si>
  <si>
    <t>nb. per day</t>
  </si>
  <si>
    <t>assumption</t>
  </si>
  <si>
    <t>100% freight at night for MWs</t>
  </si>
  <si>
    <t>(subcategory)</t>
  </si>
  <si>
    <t>Trafikverket prio</t>
  </si>
  <si>
    <t>SEK per min</t>
  </si>
  <si>
    <t>SEK per km</t>
  </si>
  <si>
    <t>%</t>
  </si>
  <si>
    <t>assumptions on Southern Main Line</t>
  </si>
  <si>
    <t>avg. trainloads (pass/ton)</t>
  </si>
  <si>
    <t>pax per train</t>
  </si>
  <si>
    <t>ton per train</t>
  </si>
  <si>
    <t>nb. prev activities</t>
  </si>
  <si>
    <t>nb. corr activities</t>
  </si>
  <si>
    <t>MGT since 2014</t>
  </si>
  <si>
    <t>Category/years</t>
  </si>
  <si>
    <t>Datum</t>
  </si>
  <si>
    <t>Händelse</t>
  </si>
  <si>
    <t>Typ</t>
  </si>
  <si>
    <t>Fel</t>
  </si>
  <si>
    <t>Spårriktning</t>
  </si>
  <si>
    <t>-</t>
  </si>
  <si>
    <t>förebyggande</t>
  </si>
  <si>
    <t>akut</t>
  </si>
  <si>
    <t>Besiktning</t>
  </si>
  <si>
    <t>Säkerhetsbesiktning</t>
  </si>
  <si>
    <t>Underhållsbesiktning</t>
  </si>
  <si>
    <t>Slipning</t>
  </si>
  <si>
    <t>preventiv</t>
  </si>
  <si>
    <t>Övertagandebesiktning</t>
  </si>
  <si>
    <t>Nb. failures</t>
  </si>
  <si>
    <t>Nb. of disturbances/delays</t>
  </si>
  <si>
    <t>Nb. of corrective</t>
  </si>
  <si>
    <t>nb inspections</t>
  </si>
  <si>
    <t>Nb. of prev (mainly tamping)</t>
  </si>
  <si>
    <t>Cumulative prev. Maint (since last corrective)</t>
  </si>
  <si>
    <t>Regression-based correlations</t>
  </si>
  <si>
    <t>Capacity costs for scheduled maintenance</t>
  </si>
  <si>
    <t>Corresponding cancelled train paths (only freight)</t>
  </si>
  <si>
    <t>Capacity costs for corrective maintenance</t>
  </si>
  <si>
    <t>Corresponding affected train paths - freight</t>
  </si>
  <si>
    <t>Corresponding affected train paths - commuter</t>
  </si>
  <si>
    <t>Corresponding affected train paths - intercity</t>
  </si>
  <si>
    <t>Total costs</t>
  </si>
  <si>
    <t>SEK per train path</t>
  </si>
  <si>
    <t>Calculation</t>
  </si>
  <si>
    <t>Calculations</t>
  </si>
  <si>
    <t>Consumed capacity for prev activity (night) in hours</t>
  </si>
  <si>
    <t>Consumed capacity for corr activity in hours</t>
  </si>
  <si>
    <t>Delay-causing failures</t>
  </si>
  <si>
    <t>Corresponding socio-economic value per train path</t>
  </si>
  <si>
    <t>Ofelia (merförseningar)</t>
  </si>
  <si>
    <t>delay cost per hour of delay</t>
  </si>
  <si>
    <t>&gt;&gt; freight</t>
  </si>
  <si>
    <t>&gt;&gt; intercity</t>
  </si>
  <si>
    <t>&gt;&gt; commuter</t>
  </si>
  <si>
    <t>Ofelia</t>
  </si>
  <si>
    <t>Corresponding socio-economic cost per delay-causing failure</t>
  </si>
  <si>
    <t>SEK per failure</t>
  </si>
  <si>
    <t>avg. delay per train and failure</t>
  </si>
  <si>
    <t>avg. number of disturbed trains per failure</t>
  </si>
  <si>
    <t>hour per failure</t>
  </si>
  <si>
    <t># per failure</t>
  </si>
  <si>
    <t>ANN (costs per year)</t>
  </si>
  <si>
    <t>Total LCCs in NPV</t>
  </si>
  <si>
    <t>ASEK</t>
  </si>
  <si>
    <t>Total LCC per 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</si>
  <si>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</si>
  <si>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</si>
  <si>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</si>
  <si>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</si>
  <si>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</si>
  <si>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</si>
  <si>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</si>
  <si>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</si>
  <si>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</si>
  <si>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</si>
  <si>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</si>
  <si>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</si>
  <si>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Maintenance costs</t>
  </si>
  <si>
    <t>Strategy</t>
  </si>
  <si>
    <t>Total LCC</t>
  </si>
  <si>
    <t>SEMI-CUMUL. PM / MGT</t>
  </si>
  <si>
    <t>Ofelia data</t>
  </si>
  <si>
    <t>Share of failures that are causing delays</t>
  </si>
  <si>
    <t>Standard</t>
  </si>
  <si>
    <t>Total</t>
  </si>
  <si>
    <t>Total discounted costs per year</t>
  </si>
  <si>
    <t>Capacity costs (preventive)</t>
  </si>
  <si>
    <t>Capacity costs (corrective)</t>
  </si>
  <si>
    <t>ANN</t>
  </si>
  <si>
    <t>Share of maintenance Costs</t>
  </si>
  <si>
    <t>Share of disruption costs</t>
  </si>
  <si>
    <t>Capacity costs (prev)</t>
  </si>
  <si>
    <t>Capacity costs (corr)</t>
  </si>
  <si>
    <t>Mix_2</t>
  </si>
  <si>
    <t>Mix_1</t>
  </si>
  <si>
    <t>Share of capacity costs for preventive</t>
  </si>
  <si>
    <t>Share of capacity costs for corrective</t>
  </si>
  <si>
    <t>Current_2018_Standard_crossing</t>
  </si>
  <si>
    <t>Gäller Korsning</t>
  </si>
  <si>
    <t>X</t>
  </si>
  <si>
    <t>All Switch and crossing</t>
  </si>
  <si>
    <t>Only crossing</t>
  </si>
  <si>
    <t>Standard_post_2018_crossing</t>
  </si>
  <si>
    <t>Variation</t>
  </si>
  <si>
    <t>param</t>
  </si>
  <si>
    <t>0%</t>
  </si>
  <si>
    <t>5%</t>
  </si>
  <si>
    <t>10%</t>
  </si>
  <si>
    <t>15%</t>
  </si>
  <si>
    <t>20%</t>
  </si>
  <si>
    <t>25%</t>
  </si>
  <si>
    <t>-5%</t>
  </si>
  <si>
    <t>-10%</t>
  </si>
  <si>
    <t>-15%</t>
  </si>
  <si>
    <t>-20%</t>
  </si>
  <si>
    <t>-25%</t>
  </si>
  <si>
    <t>Maintenance frequencies</t>
  </si>
  <si>
    <t>Tamping</t>
  </si>
  <si>
    <t>Grinding</t>
  </si>
  <si>
    <t>Innotrack 2009</t>
  </si>
  <si>
    <t>Inspections</t>
  </si>
  <si>
    <t>Number of inspections per year</t>
  </si>
  <si>
    <t>per year</t>
  </si>
  <si>
    <t>Inspection cost</t>
  </si>
  <si>
    <t>SEK per inspection</t>
  </si>
  <si>
    <t>S&amp;C revision cost</t>
  </si>
  <si>
    <t>SEK per year</t>
  </si>
  <si>
    <t>Total yearly inspection costs</t>
  </si>
  <si>
    <t>TrV TDOK</t>
  </si>
  <si>
    <t>Innotrack, 2008</t>
  </si>
  <si>
    <t>Justering</t>
  </si>
  <si>
    <t>Reparation</t>
  </si>
  <si>
    <t>Average</t>
  </si>
  <si>
    <t>Byte</t>
  </si>
  <si>
    <t>Cost for preventive activities on crossing</t>
  </si>
  <si>
    <t>Inspection</t>
  </si>
  <si>
    <t>Cost for activities on S&amp;Cs</t>
  </si>
  <si>
    <t>Material and labour</t>
  </si>
  <si>
    <t>Lupp data (50% on one S&amp;C)</t>
  </si>
  <si>
    <t>assume 50% of all pass is intercity from Nelldal et al. (2019)</t>
  </si>
  <si>
    <t>Tid i spår (MTTR main time to repair)</t>
  </si>
  <si>
    <t>Corrective</t>
  </si>
  <si>
    <t>Preventive</t>
  </si>
  <si>
    <t>Other activities</t>
  </si>
  <si>
    <t>Activities categorie on crossing</t>
  </si>
  <si>
    <t>2026</t>
  </si>
  <si>
    <t>2027</t>
  </si>
  <si>
    <t>2028</t>
  </si>
  <si>
    <t>keep this line!</t>
  </si>
  <si>
    <t>Trainload (in MGT)</t>
  </si>
  <si>
    <t>threshold for considering at least one yearly correction (if corr&gt;threshold) then performed correction</t>
  </si>
  <si>
    <t>Share of renewal</t>
  </si>
  <si>
    <t>Age</t>
  </si>
  <si>
    <t>Renewal</t>
  </si>
  <si>
    <t>Renewal cost</t>
  </si>
  <si>
    <t>Renewal costs</t>
  </si>
  <si>
    <t>2014-price level</t>
  </si>
  <si>
    <t>Mix 2 (Standard)</t>
  </si>
  <si>
    <t>Mix 1 (Adopted)</t>
  </si>
  <si>
    <t>t (år)</t>
  </si>
  <si>
    <t>Cumulative PM</t>
  </si>
  <si>
    <t>Genomsnitt</t>
  </si>
  <si>
    <t>EV-60E-760-1:15</t>
  </si>
  <si>
    <t>Cumulative Yearly</t>
  </si>
  <si>
    <t>Avg Yearly</t>
  </si>
  <si>
    <t xml:space="preserve">EV-60E-760-1:15 </t>
  </si>
  <si>
    <t>Correlation PM-CM</t>
  </si>
  <si>
    <t>Yearly PM</t>
  </si>
  <si>
    <t>mix 2</t>
  </si>
  <si>
    <t>mix 1</t>
  </si>
  <si>
    <t>Prev. Maint. Per year</t>
  </si>
  <si>
    <t>Corrective hazard</t>
  </si>
  <si>
    <t>Years</t>
  </si>
  <si>
    <t>bytats</t>
  </si>
  <si>
    <t>in NPV</t>
  </si>
  <si>
    <t>Mix 1</t>
  </si>
  <si>
    <t>Mix 2</t>
  </si>
  <si>
    <t>Standard - mix 2</t>
  </si>
  <si>
    <t>Standard_post_2018_crossing - mix 1</t>
  </si>
  <si>
    <t>Observationer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</si>
</sst>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\ hh\.mm"/>
    <numFmt numFmtId="165" formatCode="yyyy\-mm\-dd"/>
    <numFmt numFmtId="166" formatCode="#,##0\ &quot;kr&quot;"/>
    <numFmt numFmtId="167" formatCode="0.000"/>
    <numFmt numFmtId="168" formatCode="0.0"/>
    <numFmt numFmtId="169" formatCode="0.0000"/>
    <numFmt numFmtId="170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BFC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5" fillId="0" borderId="0" xfId="0" applyFont="1"/>
    <xf numFmtId="14" fontId="4" fillId="6" borderId="9" xfId="0" applyNumberFormat="1" applyFont="1" applyFill="1" applyBorder="1" applyAlignment="1">
      <alignment horizontal="left"/>
    </xf>
    <xf numFmtId="0" fontId="4" fillId="6" borderId="10" xfId="0" applyFont="1" applyFill="1" applyBorder="1"/>
    <xf numFmtId="164" fontId="6" fillId="7" borderId="11" xfId="0" applyNumberFormat="1" applyFont="1" applyFill="1" applyBorder="1" applyAlignment="1">
      <alignment horizontal="left"/>
    </xf>
    <xf numFmtId="0" fontId="7" fillId="8" borderId="10" xfId="0" applyFont="1" applyFill="1" applyBorder="1"/>
    <xf numFmtId="0" fontId="7" fillId="0" borderId="10" xfId="0" applyFont="1" applyBorder="1"/>
    <xf numFmtId="165" fontId="7" fillId="8" borderId="11" xfId="0" applyNumberFormat="1" applyFont="1" applyFill="1" applyBorder="1" applyAlignment="1">
      <alignment horizontal="left"/>
    </xf>
    <xf numFmtId="165" fontId="7" fillId="0" borderId="11" xfId="0" applyNumberFormat="1" applyFont="1" applyBorder="1" applyAlignment="1">
      <alignment horizontal="left"/>
    </xf>
    <xf numFmtId="164" fontId="6" fillId="9" borderId="11" xfId="0" applyNumberFormat="1" applyFont="1" applyFill="1" applyBorder="1" applyAlignment="1">
      <alignment horizontal="left"/>
    </xf>
    <xf numFmtId="165" fontId="7" fillId="8" borderId="9" xfId="0" applyNumberFormat="1" applyFont="1" applyFill="1" applyBorder="1" applyAlignment="1">
      <alignment horizontal="left"/>
    </xf>
    <xf numFmtId="165" fontId="7" fillId="0" borderId="9" xfId="0" applyNumberFormat="1" applyFont="1" applyBorder="1" applyAlignment="1">
      <alignment horizontal="left"/>
    </xf>
    <xf numFmtId="164" fontId="6" fillId="10" borderId="11" xfId="0" applyNumberFormat="1" applyFont="1" applyFill="1" applyBorder="1" applyAlignment="1">
      <alignment horizontal="left"/>
    </xf>
    <xf numFmtId="0" fontId="7" fillId="11" borderId="10" xfId="0" applyFont="1" applyFill="1" applyBorder="1"/>
    <xf numFmtId="0" fontId="7" fillId="4" borderId="10" xfId="0" applyFont="1" applyFill="1" applyBorder="1"/>
    <xf numFmtId="165" fontId="7" fillId="11" borderId="11" xfId="0" applyNumberFormat="1" applyFont="1" applyFill="1" applyBorder="1" applyAlignment="1">
      <alignment horizontal="left"/>
    </xf>
    <xf numFmtId="165" fontId="7" fillId="4" borderId="11" xfId="0" applyNumberFormat="1" applyFont="1" applyFill="1" applyBorder="1" applyAlignment="1">
      <alignment horizontal="left"/>
    </xf>
    <xf numFmtId="164" fontId="6" fillId="12" borderId="11" xfId="0" applyNumberFormat="1" applyFont="1" applyFill="1" applyBorder="1" applyAlignment="1">
      <alignment horizontal="left"/>
    </xf>
    <xf numFmtId="0" fontId="7" fillId="13" borderId="10" xfId="0" applyFont="1" applyFill="1" applyBorder="1"/>
    <xf numFmtId="0" fontId="7" fillId="14" borderId="10" xfId="0" applyFont="1" applyFill="1" applyBorder="1"/>
    <xf numFmtId="165" fontId="7" fillId="14" borderId="11" xfId="0" applyNumberFormat="1" applyFont="1" applyFill="1" applyBorder="1" applyAlignment="1">
      <alignment horizontal="left"/>
    </xf>
    <xf numFmtId="0" fontId="8" fillId="14" borderId="10" xfId="0" applyFont="1" applyFill="1" applyBorder="1"/>
    <xf numFmtId="165" fontId="7" fillId="13" borderId="11" xfId="0" applyNumberFormat="1" applyFont="1" applyFill="1" applyBorder="1" applyAlignment="1">
      <alignment horizontal="left"/>
    </xf>
    <xf numFmtId="164" fontId="6" fillId="15" borderId="9" xfId="0" applyNumberFormat="1" applyFont="1" applyFill="1" applyBorder="1" applyAlignment="1">
      <alignment horizontal="left"/>
    </xf>
    <xf numFmtId="0" fontId="7" fillId="16" borderId="10" xfId="0" applyFont="1" applyFill="1" applyBorder="1"/>
    <xf numFmtId="0" fontId="7" fillId="17" borderId="10" xfId="0" applyFont="1" applyFill="1" applyBorder="1"/>
    <xf numFmtId="165" fontId="7" fillId="16" borderId="9" xfId="0" applyNumberFormat="1" applyFont="1" applyFill="1" applyBorder="1" applyAlignment="1">
      <alignment horizontal="left"/>
    </xf>
    <xf numFmtId="164" fontId="6" fillId="18" borderId="9" xfId="0" applyNumberFormat="1" applyFont="1" applyFill="1" applyBorder="1" applyAlignment="1">
      <alignment horizontal="left"/>
    </xf>
    <xf numFmtId="0" fontId="7" fillId="5" borderId="10" xfId="0" applyFont="1" applyFill="1" applyBorder="1"/>
    <xf numFmtId="0" fontId="7" fillId="19" borderId="10" xfId="0" applyFont="1" applyFill="1" applyBorder="1"/>
    <xf numFmtId="165" fontId="7" fillId="19" borderId="9" xfId="0" applyNumberFormat="1" applyFont="1" applyFill="1" applyBorder="1" applyAlignment="1">
      <alignment horizontal="left"/>
    </xf>
    <xf numFmtId="165" fontId="7" fillId="5" borderId="9" xfId="0" applyNumberFormat="1" applyFont="1" applyFill="1" applyBorder="1" applyAlignment="1">
      <alignment horizontal="left"/>
    </xf>
    <xf numFmtId="0" fontId="8" fillId="5" borderId="10" xfId="0" applyFont="1" applyFill="1" applyBorder="1"/>
    <xf numFmtId="165" fontId="7" fillId="19" borderId="11" xfId="0" applyNumberFormat="1" applyFont="1" applyFill="1" applyBorder="1" applyAlignment="1">
      <alignment horizontal="left"/>
    </xf>
    <xf numFmtId="165" fontId="7" fillId="20" borderId="11" xfId="0" applyNumberFormat="1" applyFont="1" applyFill="1" applyBorder="1" applyAlignment="1">
      <alignment horizontal="left"/>
    </xf>
    <xf numFmtId="0" fontId="7" fillId="20" borderId="10" xfId="0" applyFont="1" applyFill="1" applyBorder="1"/>
    <xf numFmtId="165" fontId="7" fillId="21" borderId="11" xfId="0" applyNumberFormat="1" applyFont="1" applyFill="1" applyBorder="1" applyAlignment="1">
      <alignment horizontal="left"/>
    </xf>
    <xf numFmtId="0" fontId="7" fillId="21" borderId="10" xfId="0" applyFont="1" applyFill="1" applyBorder="1"/>
    <xf numFmtId="0" fontId="0" fillId="5" borderId="2" xfId="0" applyFill="1" applyBorder="1"/>
    <xf numFmtId="0" fontId="0" fillId="4" borderId="4" xfId="0" applyFill="1" applyBorder="1" applyAlignment="1">
      <alignment wrapText="1"/>
    </xf>
    <xf numFmtId="0" fontId="0" fillId="5" borderId="3" xfId="0" applyFill="1" applyBorder="1"/>
    <xf numFmtId="9" fontId="0" fillId="0" borderId="0" xfId="1" applyFont="1"/>
    <xf numFmtId="0" fontId="9" fillId="0" borderId="0" xfId="0" applyFont="1"/>
    <xf numFmtId="166" fontId="0" fillId="4" borderId="1" xfId="0" applyNumberFormat="1" applyFill="1" applyBorder="1"/>
    <xf numFmtId="166" fontId="0" fillId="4" borderId="1" xfId="0" applyNumberFormat="1" applyFill="1" applyBorder="1" applyAlignment="1">
      <alignment wrapText="1"/>
    </xf>
    <xf numFmtId="166" fontId="0" fillId="0" borderId="2" xfId="0" applyNumberFormat="1" applyBorder="1"/>
    <xf numFmtId="166" fontId="0" fillId="4" borderId="4" xfId="0" applyNumberFormat="1" applyFill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7" fontId="9" fillId="0" borderId="0" xfId="0" applyNumberFormat="1" applyFont="1"/>
    <xf numFmtId="167" fontId="0" fillId="4" borderId="0" xfId="0" applyNumberFormat="1" applyFill="1"/>
    <xf numFmtId="166" fontId="2" fillId="2" borderId="4" xfId="2" applyNumberFormat="1" applyBorder="1" applyAlignment="1">
      <alignment wrapText="1"/>
    </xf>
    <xf numFmtId="166" fontId="2" fillId="2" borderId="6" xfId="2" applyNumberFormat="1" applyBorder="1"/>
    <xf numFmtId="166" fontId="3" fillId="3" borderId="0" xfId="3" applyNumberFormat="1" applyBorder="1"/>
    <xf numFmtId="166" fontId="3" fillId="3" borderId="7" xfId="3" applyNumberFormat="1" applyBorder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68" fontId="0" fillId="22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9" fillId="0" borderId="9" xfId="2" applyFont="1" applyFill="1" applyBorder="1"/>
    <xf numFmtId="166" fontId="9" fillId="0" borderId="10" xfId="2" applyNumberFormat="1" applyFont="1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wrapText="1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9" fontId="0" fillId="0" borderId="0" xfId="0" applyNumberFormat="1"/>
    <xf numFmtId="166" fontId="0" fillId="0" borderId="0" xfId="0" applyNumberFormat="1" applyAlignment="1">
      <alignment horizontal="right"/>
    </xf>
    <xf numFmtId="0" fontId="2" fillId="2" borderId="0" xfId="2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0" fillId="0" borderId="12" xfId="0" applyNumberFormat="1" applyBorder="1"/>
    <xf numFmtId="166" fontId="0" fillId="0" borderId="13" xfId="0" applyNumberFormat="1" applyBorder="1"/>
    <xf numFmtId="0" fontId="0" fillId="0" borderId="15" xfId="0" applyBorder="1"/>
    <xf numFmtId="0" fontId="0" fillId="8" borderId="15" xfId="0" applyFill="1" applyBorder="1"/>
    <xf numFmtId="0" fontId="0" fillId="8" borderId="16" xfId="0" applyFill="1" applyBorder="1"/>
    <xf numFmtId="166" fontId="0" fillId="8" borderId="17" xfId="0" applyNumberFormat="1" applyFill="1" applyBorder="1"/>
    <xf numFmtId="9" fontId="0" fillId="0" borderId="10" xfId="0" applyNumberFormat="1" applyBorder="1"/>
    <xf numFmtId="9" fontId="0" fillId="8" borderId="10" xfId="0" applyNumberFormat="1" applyFill="1" applyBorder="1"/>
    <xf numFmtId="0" fontId="0" fillId="8" borderId="18" xfId="0" applyFill="1" applyBorder="1"/>
    <xf numFmtId="9" fontId="0" fillId="8" borderId="19" xfId="0" applyNumberFormat="1" applyFill="1" applyBorder="1"/>
    <xf numFmtId="9" fontId="11" fillId="0" borderId="0" xfId="0" applyNumberFormat="1" applyFont="1"/>
    <xf numFmtId="9" fontId="0" fillId="0" borderId="10" xfId="1" applyFont="1" applyBorder="1"/>
    <xf numFmtId="9" fontId="0" fillId="0" borderId="0" xfId="1" applyFont="1" applyBorder="1"/>
    <xf numFmtId="9" fontId="0" fillId="0" borderId="5" xfId="1" applyFont="1" applyBorder="1"/>
    <xf numFmtId="9" fontId="0" fillId="8" borderId="10" xfId="1" applyFont="1" applyFill="1" applyBorder="1"/>
    <xf numFmtId="9" fontId="0" fillId="8" borderId="19" xfId="1" applyFont="1" applyFill="1" applyBorder="1"/>
    <xf numFmtId="9" fontId="0" fillId="0" borderId="7" xfId="1" applyFont="1" applyBorder="1"/>
    <xf numFmtId="9" fontId="0" fillId="0" borderId="8" xfId="1" applyFont="1" applyBorder="1"/>
    <xf numFmtId="0" fontId="0" fillId="8" borderId="13" xfId="0" applyFill="1" applyBorder="1"/>
    <xf numFmtId="166" fontId="0" fillId="8" borderId="20" xfId="0" applyNumberFormat="1" applyFill="1" applyBorder="1"/>
    <xf numFmtId="169" fontId="11" fillId="0" borderId="0" xfId="0" applyNumberFormat="1" applyFont="1"/>
    <xf numFmtId="0" fontId="9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166" fontId="9" fillId="0" borderId="0" xfId="4" applyNumberFormat="1" applyFont="1"/>
    <xf numFmtId="166" fontId="9" fillId="0" borderId="0" xfId="0" applyNumberFormat="1" applyFont="1"/>
    <xf numFmtId="1" fontId="9" fillId="0" borderId="0" xfId="0" applyNumberFormat="1" applyFont="1"/>
    <xf numFmtId="166" fontId="0" fillId="0" borderId="0" xfId="4" applyNumberFormat="1" applyFont="1"/>
    <xf numFmtId="0" fontId="5" fillId="5" borderId="0" xfId="0" applyFont="1" applyFill="1"/>
    <xf numFmtId="1" fontId="5" fillId="5" borderId="0" xfId="0" applyNumberFormat="1" applyFont="1" applyFill="1"/>
    <xf numFmtId="0" fontId="5" fillId="0" borderId="0" xfId="0" applyFont="1" applyAlignment="1">
      <alignment wrapText="1"/>
    </xf>
    <xf numFmtId="9" fontId="0" fillId="8" borderId="0" xfId="1" applyFont="1" applyFill="1" applyBorder="1"/>
    <xf numFmtId="0" fontId="0" fillId="8" borderId="0" xfId="0" applyFill="1"/>
    <xf numFmtId="166" fontId="5" fillId="0" borderId="0" xfId="0" applyNumberFormat="1" applyFont="1"/>
    <xf numFmtId="0" fontId="5" fillId="4" borderId="0" xfId="0" applyFont="1" applyFill="1"/>
    <xf numFmtId="166" fontId="5" fillId="4" borderId="0" xfId="0" applyNumberFormat="1" applyFont="1" applyFill="1"/>
    <xf numFmtId="166" fontId="5" fillId="0" borderId="0" xfId="4" applyNumberFormat="1" applyFont="1"/>
    <xf numFmtId="170" fontId="9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3" fontId="0" fillId="0" borderId="0" xfId="4" applyFont="1"/>
    <xf numFmtId="167" fontId="0" fillId="0" borderId="0" xfId="0" applyNumberFormat="1"/>
    <xf numFmtId="0" fontId="11" fillId="5" borderId="0" xfId="0" applyFont="1" applyFill="1"/>
    <xf numFmtId="170" fontId="0" fillId="0" borderId="0" xfId="0" applyNumberFormat="1"/>
    <xf numFmtId="0" fontId="5" fillId="0" borderId="2" xfId="0" applyFont="1" applyBorder="1"/>
    <xf numFmtId="0" fontId="8" fillId="11" borderId="10" xfId="0" applyFont="1" applyFill="1" applyBorder="1"/>
    <xf numFmtId="166" fontId="0" fillId="5" borderId="0" xfId="0" applyNumberFormat="1" applyFill="1"/>
    <xf numFmtId="2" fontId="9" fillId="0" borderId="0" xfId="0" applyNumberFormat="1" applyFont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5">
    <cellStyle name="Bra" xfId="2" builtinId="26"/>
    <cellStyle name="Neutral" xfId="3" builtinId="28"/>
    <cellStyle name="Normal" xfId="0" builtinId="0"/>
    <cellStyle name="Procent" xfId="1" builtinId="5"/>
    <cellStyle name="Tusental" xfId="4" builtinId="3"/>
  </cellStyles>
  <dxfs count="32">
    <dxf>
      <numFmt numFmtId="13" formatCode="0%"/>
    </dxf>
    <dxf>
      <border diagonalUp="0" diagonalDown="0">
        <left/>
        <right style="medium">
          <color indexed="64"/>
        </right>
        <vertical/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numFmt numFmtId="166" formatCode="#,##0\ &quot;kr&quot;"/>
    </dxf>
    <dxf>
      <border diagonalUp="0" diagonalDown="0">
        <left style="medium">
          <color indexed="64"/>
        </left>
        <right style="medium">
          <color indexed="64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2-42B3-BC79-B17AB40D0E6E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4193.4599095602143</c:v>
                </c:pt>
                <c:pt idx="1">
                  <c:v>6796.7175449410752</c:v>
                </c:pt>
                <c:pt idx="2">
                  <c:v>8145.3735433639822</c:v>
                </c:pt>
                <c:pt idx="3">
                  <c:v>9044.214484488064</c:v>
                </c:pt>
                <c:pt idx="4">
                  <c:v>9680.4499126524515</c:v>
                </c:pt>
                <c:pt idx="5">
                  <c:v>10139.017527436037</c:v>
                </c:pt>
                <c:pt idx="6">
                  <c:v>10467.83334230477</c:v>
                </c:pt>
                <c:pt idx="7">
                  <c:v>10697.402703952304</c:v>
                </c:pt>
                <c:pt idx="8">
                  <c:v>10848.71676761104</c:v>
                </c:pt>
                <c:pt idx="9">
                  <c:v>10937.022679606582</c:v>
                </c:pt>
                <c:pt idx="10">
                  <c:v>10973.842442057039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2-42B3-BC79-B17AB40D0E6E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4483.1295365245887</c:v>
                </c:pt>
                <c:pt idx="1">
                  <c:v>21222.654054859795</c:v>
                </c:pt>
                <c:pt idx="2">
                  <c:v>47053.38720375477</c:v>
                </c:pt>
                <c:pt idx="3">
                  <c:v>80368.797985593992</c:v>
                </c:pt>
                <c:pt idx="4">
                  <c:v>119607.76043706269</c:v>
                </c:pt>
                <c:pt idx="5">
                  <c:v>163370.45028250702</c:v>
                </c:pt>
                <c:pt idx="6">
                  <c:v>210409.50166740196</c:v>
                </c:pt>
                <c:pt idx="7">
                  <c:v>259620.60850927423</c:v>
                </c:pt>
                <c:pt idx="8">
                  <c:v>310033.6420819097</c:v>
                </c:pt>
                <c:pt idx="9">
                  <c:v>360803.89895249612</c:v>
                </c:pt>
                <c:pt idx="10">
                  <c:v>411203.32716890064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2-42B3-BC79-B17AB40D0E6E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1325.9471183924165</c:v>
                </c:pt>
                <c:pt idx="1">
                  <c:v>6276.891345525396</c:v>
                </c:pt>
                <c:pt idx="2">
                  <c:v>13916.685356762509</c:v>
                </c:pt>
                <c:pt idx="3">
                  <c:v>23770.175550241129</c:v>
                </c:pt>
                <c:pt idx="4">
                  <c:v>35375.637486450745</c:v>
                </c:pt>
                <c:pt idx="5">
                  <c:v>48319.053914844124</c:v>
                </c:pt>
                <c:pt idx="6">
                  <c:v>62231.499256333351</c:v>
                </c:pt>
                <c:pt idx="7">
                  <c:v>76786.359823772131</c:v>
                </c:pt>
                <c:pt idx="8">
                  <c:v>91696.706725520547</c:v>
                </c:pt>
                <c:pt idx="9">
                  <c:v>106712.7073226801</c:v>
                </c:pt>
                <c:pt idx="10">
                  <c:v>121619.03025350772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2-42B3-BC79-B17AB40D0E6E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Standard'!$B$1:$L$1</c:f>
              <c:numCache>
                <c:formatCode>General</c:formatCode>
                <c:ptCount val="1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2-42B3-BC79-B17AB40D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899599"/>
        <c:axId val="1783877039"/>
      </c:areaChart>
      <c:catAx>
        <c:axId val="178389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Traffic load (MGT)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77039"/>
        <c:crosses val="autoZero"/>
        <c:auto val="1"/>
        <c:lblAlgn val="ctr"/>
        <c:lblOffset val="100"/>
        <c:noMultiLvlLbl val="0"/>
      </c:catAx>
      <c:valAx>
        <c:axId val="17838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Annual costs (SEK,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838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'Results - Standard'!$A$3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Standard'!$B$3:$L$3</c:f>
              <c:numCache>
                <c:formatCode>#\ ##0\ "kr"</c:formatCode>
                <c:ptCount val="11"/>
                <c:pt idx="0">
                  <c:v>10692.1244061466</c:v>
                </c:pt>
                <c:pt idx="1">
                  <c:v>15740.196284260819</c:v>
                </c:pt>
                <c:pt idx="2">
                  <c:v>22008.568358205088</c:v>
                </c:pt>
                <c:pt idx="3">
                  <c:v>29650.006081282405</c:v>
                </c:pt>
                <c:pt idx="4">
                  <c:v>38438.604740970499</c:v>
                </c:pt>
                <c:pt idx="5">
                  <c:v>48119.584862344709</c:v>
                </c:pt>
                <c:pt idx="6">
                  <c:v>58448.411866517548</c:v>
                </c:pt>
                <c:pt idx="7">
                  <c:v>69201.070654374926</c:v>
                </c:pt>
                <c:pt idx="8">
                  <c:v>80177.081208788484</c:v>
                </c:pt>
                <c:pt idx="9">
                  <c:v>91199.946007017483</c:v>
                </c:pt>
                <c:pt idx="10">
                  <c:v>102116.49047889588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1EB-A4F0-52F4E429C951}"/>
            </c:ext>
          </c:extLst>
        </c:ser>
        <c:ser>
          <c:idx val="1"/>
          <c:order val="1"/>
          <c:tx>
            <c:strRef>
              <c:f>'Results - Standard'!$A$4</c:f>
              <c:strCache>
                <c:ptCount val="1"/>
                <c:pt idx="0">
                  <c:v>Capacity costs (preventive)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Standard'!$B$4:$L$4</c:f>
              <c:numCache>
                <c:formatCode>#\ ##0\ "kr"</c:formatCode>
                <c:ptCount val="11"/>
                <c:pt idx="0">
                  <c:v>4193.4599095602143</c:v>
                </c:pt>
                <c:pt idx="1">
                  <c:v>6796.7175449410752</c:v>
                </c:pt>
                <c:pt idx="2">
                  <c:v>8145.3735433639822</c:v>
                </c:pt>
                <c:pt idx="3">
                  <c:v>9044.214484488064</c:v>
                </c:pt>
                <c:pt idx="4">
                  <c:v>9680.4499126524515</c:v>
                </c:pt>
                <c:pt idx="5">
                  <c:v>10139.017527436037</c:v>
                </c:pt>
                <c:pt idx="6">
                  <c:v>10467.83334230477</c:v>
                </c:pt>
                <c:pt idx="7">
                  <c:v>10697.402703952304</c:v>
                </c:pt>
                <c:pt idx="8">
                  <c:v>10848.71676761104</c:v>
                </c:pt>
                <c:pt idx="9">
                  <c:v>10937.022679606582</c:v>
                </c:pt>
                <c:pt idx="10">
                  <c:v>10973.842442057039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9-41EB-A4F0-52F4E429C951}"/>
            </c:ext>
          </c:extLst>
        </c:ser>
        <c:ser>
          <c:idx val="2"/>
          <c:order val="2"/>
          <c:tx>
            <c:strRef>
              <c:f>'Results - Standard'!$A$5</c:f>
              <c:strCache>
                <c:ptCount val="1"/>
                <c:pt idx="0">
                  <c:v>Capacity costs (corrective)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Standard'!$B$5:$L$5</c:f>
              <c:numCache>
                <c:formatCode>#\ ##0\ "kr"</c:formatCode>
                <c:ptCount val="11"/>
                <c:pt idx="0">
                  <c:v>4483.1295365245887</c:v>
                </c:pt>
                <c:pt idx="1">
                  <c:v>21222.654054859795</c:v>
                </c:pt>
                <c:pt idx="2">
                  <c:v>47053.38720375477</c:v>
                </c:pt>
                <c:pt idx="3">
                  <c:v>80368.797985593992</c:v>
                </c:pt>
                <c:pt idx="4">
                  <c:v>119607.76043706269</c:v>
                </c:pt>
                <c:pt idx="5">
                  <c:v>163370.45028250702</c:v>
                </c:pt>
                <c:pt idx="6">
                  <c:v>210409.50166740196</c:v>
                </c:pt>
                <c:pt idx="7">
                  <c:v>259620.60850927423</c:v>
                </c:pt>
                <c:pt idx="8">
                  <c:v>310033.6420819097</c:v>
                </c:pt>
                <c:pt idx="9">
                  <c:v>360803.89895249612</c:v>
                </c:pt>
                <c:pt idx="10">
                  <c:v>411203.32716890064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9-41EB-A4F0-52F4E429C951}"/>
            </c:ext>
          </c:extLst>
        </c:ser>
        <c:ser>
          <c:idx val="3"/>
          <c:order val="3"/>
          <c:tx>
            <c:strRef>
              <c:f>'Results - Standard'!$A$6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Standard'!$B$6:$L$6</c:f>
              <c:numCache>
                <c:formatCode>#\ ##0\ "kr"</c:formatCode>
                <c:ptCount val="11"/>
                <c:pt idx="0">
                  <c:v>1325.9471183924165</c:v>
                </c:pt>
                <c:pt idx="1">
                  <c:v>6276.891345525396</c:v>
                </c:pt>
                <c:pt idx="2">
                  <c:v>13916.685356762509</c:v>
                </c:pt>
                <c:pt idx="3">
                  <c:v>23770.175550241129</c:v>
                </c:pt>
                <c:pt idx="4">
                  <c:v>35375.637486450745</c:v>
                </c:pt>
                <c:pt idx="5">
                  <c:v>48319.053914844124</c:v>
                </c:pt>
                <c:pt idx="6">
                  <c:v>62231.499256333351</c:v>
                </c:pt>
                <c:pt idx="7">
                  <c:v>76786.359823772131</c:v>
                </c:pt>
                <c:pt idx="8">
                  <c:v>91696.706725520547</c:v>
                </c:pt>
                <c:pt idx="9">
                  <c:v>106712.7073226801</c:v>
                </c:pt>
                <c:pt idx="10">
                  <c:v>121619.03025350772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9-41EB-A4F0-52F4E429C951}"/>
            </c:ext>
          </c:extLst>
        </c:ser>
        <c:ser>
          <c:idx val="4"/>
          <c:order val="4"/>
          <c:tx>
            <c:strRef>
              <c:f>'Results - Standard'!$A$7</c:f>
              <c:strCache>
                <c:ptCount val="1"/>
                <c:pt idx="0">
                  <c:v>Renewal costs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'Results - Standard'!$B$2:$L$2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'Results - Standard'!$B$7:$L$7</c:f>
              <c:numCache>
                <c:formatCode>#\ ##0\ "kr"</c:formatCode>
                <c:ptCount val="11"/>
                <c:pt idx="0">
                  <c:v>350232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9-41EB-A4F0-52F4E429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0175"/>
        <c:axId val="1962472095"/>
      </c:areaChart>
      <c:catAx>
        <c:axId val="19624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2095"/>
        <c:crosses val="autoZero"/>
        <c:auto val="1"/>
        <c:lblAlgn val="ctr"/>
        <c:lblOffset val="100"/>
        <c:noMultiLvlLbl val="0"/>
      </c:catAx>
      <c:valAx>
        <c:axId val="19624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Cost share (%, 2014-prices)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247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comparison'!$A$15</c:f>
              <c:strCache>
                <c:ptCount val="1"/>
                <c:pt idx="0">
                  <c:v>Mix 1 (Adopted)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comparison'!$C$15:$M$15</c:f>
              <c:numCache>
                <c:formatCode>#\ ##0\ "kr"</c:formatCode>
                <c:ptCount val="11"/>
                <c:pt idx="0">
                  <c:v>7067</c:v>
                </c:pt>
                <c:pt idx="1">
                  <c:v>129458.637260274</c:v>
                </c:pt>
                <c:pt idx="2">
                  <c:v>7643.6672000000008</c:v>
                </c:pt>
                <c:pt idx="3">
                  <c:v>140022.46206071234</c:v>
                </c:pt>
                <c:pt idx="4">
                  <c:v>8267.390443520002</c:v>
                </c:pt>
                <c:pt idx="5">
                  <c:v>372341.71926300274</c:v>
                </c:pt>
                <c:pt idx="6">
                  <c:v>546844.15554347646</c:v>
                </c:pt>
                <c:pt idx="7">
                  <c:v>720906.32838583412</c:v>
                </c:pt>
                <c:pt idx="8">
                  <c:v>922923.02164290939</c:v>
                </c:pt>
                <c:pt idx="9">
                  <c:v>1154013.6202020382</c:v>
                </c:pt>
                <c:pt idx="10">
                  <c:v>1415274.2441903187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9-4B4D-A130-291AE7EB376B}"/>
            </c:ext>
          </c:extLst>
        </c:ser>
        <c:ser>
          <c:idx val="0"/>
          <c:order val="1"/>
          <c:tx>
            <c:strRef>
              <c:f>'Results - comparison'!$A$14</c:f>
              <c:strCache>
                <c:ptCount val="1"/>
                <c:pt idx="0">
                  <c:v>Mix 2 (Standard)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 - comparison'!$C$3:$M$3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'Results - comparison'!$C$14:$M$14</c:f>
              <c:numCache>
                <c:formatCode>#\ ##0\ "kr"</c:formatCode>
                <c:ptCount val="11"/>
                <c:pt idx="0">
                  <c:v>20694.660970623823</c:v>
                </c:pt>
                <c:pt idx="1">
                  <c:v>54119.434302721405</c:v>
                </c:pt>
                <c:pt idx="2">
                  <c:v>106602.20834003553</c:v>
                </c:pt>
                <c:pt idx="3">
                  <c:v>180729.55696929226</c:v>
                </c:pt>
                <c:pt idx="4">
                  <c:v>277959.73065847374</c:v>
                </c:pt>
                <c:pt idx="5">
                  <c:v>399589.14200013014</c:v>
                </c:pt>
                <c:pt idx="6">
                  <c:v>546844.15554347646</c:v>
                </c:pt>
                <c:pt idx="7">
                  <c:v>720906.32838583412</c:v>
                </c:pt>
                <c:pt idx="8">
                  <c:v>922923.02164290939</c:v>
                </c:pt>
                <c:pt idx="9">
                  <c:v>1154013.6202020382</c:v>
                </c:pt>
                <c:pt idx="10">
                  <c:v>1415274.2441903187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9-4B4D-A130-291AE7E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90767"/>
        <c:axId val="1048580207"/>
      </c:barChart>
      <c:catAx>
        <c:axId val="10485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80207"/>
        <c:crosses val="autoZero"/>
        <c:auto val="1"/>
        <c:lblAlgn val="ctr"/>
        <c:lblOffset val="100"/>
        <c:noMultiLvlLbl val="0"/>
      </c:catAx>
      <c:valAx>
        <c:axId val="1048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Total costs (SEK)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485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'Results - comparison'!$B$29</c:f>
              <c:strCache>
                <c:ptCount val="1"/>
                <c:pt idx="0">
                  <c:v>Mix 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comparison'!$H$29:$M$29</c:f>
              <c:numCache>
                <c:formatCode>#\ ##0\ "kr"</c:formatCode>
                <c:ptCount val="6"/>
                <c:pt idx="0">
                  <c:v>110800.14603791817</c:v>
                </c:pt>
                <c:pt idx="1">
                  <c:v>173092.14739585508</c:v>
                </c:pt>
                <c:pt idx="2">
                  <c:v>241568.92001960246</c:v>
                </c:pt>
                <c:pt idx="3">
                  <c:v>317274.93131108099</c:v>
                </c:pt>
                <c:pt idx="4">
                  <c:v>400948.80020017672</c:v>
                </c:pt>
                <c:pt idx="5">
                  <c:v>493160.20419928053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443-A390-78A3490C6210}"/>
            </c:ext>
          </c:extLst>
        </c:ser>
        <c:ser>
          <c:idx val="0"/>
          <c:order val="1"/>
          <c:tx>
            <c:strRef>
              <c:f>'Results - comparison'!$B$30</c:f>
              <c:strCache>
                <c:ptCount val="1"/>
                <c:pt idx="0">
                  <c:v>Mix 2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- comparison'!$H$26:$M$26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'Results - comparison'!$H$30:$M$30</c:f>
              <c:numCache>
                <c:formatCode>#\ ##0\ "kr"</c:formatCode>
                <c:ptCount val="6"/>
                <c:pt idx="0">
                  <c:v>173282.4555402128</c:v>
                </c:pt>
                <c:pt idx="1">
                  <c:v>226648.41268353615</c:v>
                </c:pt>
                <c:pt idx="2">
                  <c:v>288430.65214632341</c:v>
                </c:pt>
                <c:pt idx="3">
                  <c:v>358929.80431261077</c:v>
                </c:pt>
                <c:pt idx="4">
                  <c:v>438438.18590155349</c:v>
                </c:pt>
                <c:pt idx="5">
                  <c:v>527241.46392780484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23"/>
        <c:axId val="2143663"/>
      </c:barChart>
      <c:lineChart>
        <c:grouping val="standard"/>
        <c:varyColors val="0"/>
        <c:ser>
          <c:idx val="2"/>
          <c:order val="2"/>
          <c:tx>
            <c:strRef>
              <c:f>'Results - comparison'!$B$31</c:f>
              <c:strCache>
                <c:ptCount val="1"/>
                <c:pt idx="0">
                  <c:v>Renewal cost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'Results - comparison'!$H$28:$M$28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'Results - comparison'!$H$31:$M$31</c:f>
              <c:numCache>
                <c:formatCode>#\ ##0\ "kr"</c:formatCode>
                <c:ptCount val="6"/>
                <c:pt idx="0">
                  <c:v>389234.02984161291</c:v>
                </c:pt>
                <c:pt idx="1">
                  <c:v>404803.39103527745</c:v>
                </c:pt>
                <c:pt idx="2">
                  <c:v>420995.52667668846</c:v>
                </c:pt>
                <c:pt idx="3">
                  <c:v>437835.34774375608</c:v>
                </c:pt>
                <c:pt idx="4">
                  <c:v>455348.76165350643</c:v>
                </c:pt>
                <c:pt idx="5">
                  <c:v>473562.71211964666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1-4443-A390-78A3490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23"/>
        <c:axId val="2143663"/>
      </c:lineChart>
      <c:catAx>
        <c:axId val="213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Years (since last renewal)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663"/>
        <c:crosses val="autoZero"/>
        <c:auto val="1"/>
        <c:lblAlgn val="ctr"/>
        <c:lblOffset val="100"/>
        <c:noMultiLvlLbl val="0"/>
      </c:catAx>
      <c:valAx>
        <c:axId val="21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'Sensitivity analysis'!$A$8</c:f>
              <c:strCache>
                <c:ptCount val="1"/>
                <c:pt idx="0">
                  <c:v>Direct maintenance costs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analysis'!$B$8:$L$8</c:f>
              <c:numCache>
                <c:formatCode>#\ ##0\ "kr"</c:formatCode>
                <c:ptCount val="11"/>
                <c:pt idx="0">
                  <c:v>70317.597000910522</c:v>
                </c:pt>
                <c:pt idx="1">
                  <c:v>70884.498550051067</c:v>
                </c:pt>
                <c:pt idx="2">
                  <c:v>71451.496393623544</c:v>
                </c:pt>
                <c:pt idx="3">
                  <c:v>72018.589564871814</c:v>
                </c:pt>
                <c:pt idx="4">
                  <c:v>72585.777109937699</c:v>
                </c:pt>
                <c:pt idx="5">
                  <c:v>73153.058087646554</c:v>
                </c:pt>
                <c:pt idx="6">
                  <c:v>73720.431569297216</c:v>
                </c:pt>
                <c:pt idx="7">
                  <c:v>74287.896638455961</c:v>
                </c:pt>
                <c:pt idx="8">
                  <c:v>74855.452390754683</c:v>
                </c:pt>
                <c:pt idx="9">
                  <c:v>75423.097933692974</c:v>
                </c:pt>
                <c:pt idx="10">
                  <c:v>75990.832386444061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425-BF06-237658A1D1BA}"/>
            </c:ext>
          </c:extLst>
        </c:ser>
        <c:ser>
          <c:idx val="1"/>
          <c:order val="1"/>
          <c:tx>
            <c:strRef>
              <c:f>'Sensitivity analysis'!$A$9</c:f>
              <c:strCache>
                <c:ptCount val="1"/>
                <c:pt idx="0">
                  <c:v>Capacity costs (prev)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analysis'!$B$9:$L$9</c:f>
              <c:numCache>
                <c:formatCode>#\ ##0\ "kr"</c:formatCode>
                <c:ptCount val="11"/>
                <c:pt idx="0">
                  <c:v>13254.456841206624</c:v>
                </c:pt>
                <c:pt idx="1">
                  <c:v>14140.23961963102</c:v>
                </c:pt>
                <c:pt idx="2">
                  <c:v>15026.276080988187</c:v>
                </c:pt>
                <c:pt idx="3">
                  <c:v>15912.563678406766</c:v>
                </c:pt>
                <c:pt idx="4">
                  <c:v>16799.09989899438</c:v>
                </c:pt>
                <c:pt idx="5">
                  <c:v>17685.882263272881</c:v>
                </c:pt>
                <c:pt idx="6">
                  <c:v>18572.908324624794</c:v>
                </c:pt>
                <c:pt idx="7">
                  <c:v>19460.175668750708</c:v>
                </c:pt>
                <c:pt idx="8">
                  <c:v>20347.68191313744</c:v>
                </c:pt>
                <c:pt idx="9">
                  <c:v>21235.424706536647</c:v>
                </c:pt>
                <c:pt idx="10">
                  <c:v>22123.401728453617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8-4425-BF06-237658A1D1BA}"/>
            </c:ext>
          </c:extLst>
        </c:ser>
        <c:ser>
          <c:idx val="2"/>
          <c:order val="2"/>
          <c:tx>
            <c:strRef>
              <c:f>'Sensitivity analysis'!$A$10</c:f>
              <c:strCache>
                <c:ptCount val="1"/>
                <c:pt idx="0">
                  <c:v>Capacity costs (corr)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analysis'!$B$10:$L$10</c:f>
              <c:numCache>
                <c:formatCode>#\ ##0\ "kr"</c:formatCode>
                <c:ptCount val="11"/>
                <c:pt idx="0">
                  <c:v>243649.42238145974</c:v>
                </c:pt>
                <c:pt idx="1">
                  <c:v>243686.51453436949</c:v>
                </c:pt>
                <c:pt idx="2">
                  <c:v>243723.35759379956</c:v>
                </c:pt>
                <c:pt idx="3">
                  <c:v>243759.95406054502</c:v>
                </c:pt>
                <c:pt idx="4">
                  <c:v>243796.30640203689</c:v>
                </c:pt>
                <c:pt idx="5">
                  <c:v>243832.4170528962</c:v>
                </c:pt>
                <c:pt idx="6">
                  <c:v>243868.28841547799</c:v>
                </c:pt>
                <c:pt idx="7">
                  <c:v>243903.92286040389</c:v>
                </c:pt>
                <c:pt idx="8">
                  <c:v>243939.32272708433</c:v>
                </c:pt>
                <c:pt idx="9">
                  <c:v>243974.49032423046</c:v>
                </c:pt>
                <c:pt idx="10">
                  <c:v>244009.42793035635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8-4425-BF06-237658A1D1BA}"/>
            </c:ext>
          </c:extLst>
        </c:ser>
        <c:ser>
          <c:idx val="3"/>
          <c:order val="3"/>
          <c:tx>
            <c:strRef>
              <c:f>'Sensitivity analysis'!$A$11</c:f>
              <c:strCache>
                <c:ptCount val="1"/>
                <c:pt idx="0">
                  <c:v>Disruption costs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analysis'!$B$11:$L$11</c:f>
              <c:numCache>
                <c:formatCode>#\ ##0\ "kr"</c:formatCode>
                <c:ptCount val="11"/>
                <c:pt idx="0">
                  <c:v>60697.044113287149</c:v>
                </c:pt>
                <c:pt idx="1">
                  <c:v>60706.284373409311</c:v>
                </c:pt>
                <c:pt idx="2">
                  <c:v>60715.462580283915</c:v>
                </c:pt>
                <c:pt idx="3">
                  <c:v>60724.579356899805</c:v>
                </c:pt>
                <c:pt idx="4">
                  <c:v>60733.635317934248</c:v>
                </c:pt>
                <c:pt idx="5">
                  <c:v>60742.63106989106</c:v>
                </c:pt>
                <c:pt idx="6">
                  <c:v>60751.567211236077</c:v>
                </c:pt>
                <c:pt idx="7">
                  <c:v>60760.444332529791</c:v>
                </c:pt>
                <c:pt idx="8">
                  <c:v>60769.263016557445</c:v>
                </c:pt>
                <c:pt idx="9">
                  <c:v>60778.023838456698</c:v>
                </c:pt>
                <c:pt idx="10">
                  <c:v>60786.727365842518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8-4425-BF06-237658A1D1BA}"/>
            </c:ext>
          </c:extLst>
        </c:ser>
        <c:ser>
          <c:idx val="4"/>
          <c:order val="4"/>
          <c:tx>
            <c:strRef>
              <c:f>'Sensitivity analysis'!$A$12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strRef>
              <c:f>'Sensitivity analysis'!$B$1:$L$1</c:f>
              <c:strCache>
                <c:ptCount val="11"/>
                <c:pt idx="0">
                  <c:v>-25%</c:v>
                </c:pt>
                <c:pt idx="1">
                  <c:v>-20%</c:v>
                </c:pt>
                <c:pt idx="2">
                  <c:v>-15%</c:v>
                </c:pt>
                <c:pt idx="3">
                  <c:v>-10%</c:v>
                </c:pt>
                <c:pt idx="4">
                  <c:v>-5%</c:v>
                </c:pt>
                <c:pt idx="5">
                  <c:v>0%</c:v>
                </c:pt>
                <c:pt idx="6">
                  <c:v>5%</c:v>
                </c:pt>
                <c:pt idx="7">
                  <c:v>10%</c:v>
                </c:pt>
                <c:pt idx="8">
                  <c:v>15%</c:v>
                </c:pt>
                <c:pt idx="9">
                  <c:v>20%</c:v>
                </c:pt>
                <c:pt idx="10">
                  <c:v>25%</c:v>
                </c:pt>
              </c:strCache>
            </c:strRef>
          </c:cat>
          <c:val>
            <c:numRef>
              <c:f>'Sensitivity analysis'!$B$12:$L$12</c:f>
              <c:numCache>
                <c:formatCode>#\ ##0\ "kr"</c:formatCode>
                <c:ptCount val="11"/>
                <c:pt idx="0">
                  <c:v>37981.975215968028</c:v>
                </c:pt>
                <c:pt idx="1">
                  <c:v>37987.757430507074</c:v>
                </c:pt>
                <c:pt idx="2">
                  <c:v>37993.500814408733</c:v>
                </c:pt>
                <c:pt idx="3">
                  <c:v>37999.205757516465</c:v>
                </c:pt>
                <c:pt idx="4">
                  <c:v>38004.872644472693</c:v>
                </c:pt>
                <c:pt idx="5">
                  <c:v>38010.501854805167</c:v>
                </c:pt>
                <c:pt idx="6">
                  <c:v>38016.093763011755</c:v>
                </c:pt>
                <c:pt idx="7">
                  <c:v>38021.648738643475</c:v>
                </c:pt>
                <c:pt idx="8">
                  <c:v>38027.16714638588</c:v>
                </c:pt>
                <c:pt idx="9">
                  <c:v>38032.649346138933</c:v>
                </c:pt>
                <c:pt idx="10">
                  <c:v>38038.09569309518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8-4425-BF06-237658A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63"/>
        <c:axId val="2120623"/>
      </c:areaChart>
      <c:catAx>
        <c:axId val="214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0623"/>
        <c:crosses val="autoZero"/>
        <c:auto val="1"/>
        <c:lblAlgn val="ctr"/>
        <c:lblOffset val="100"/>
        <c:noMultiLvlLbl val="0"/>
      </c:catAx>
      <c:valAx>
        <c:axId val="2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100"/>
                  <a:t>Annuity (SEK/year)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#\ ##0\ &quot;kr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76200</xdr:rowOff>
    </xdr:from>
    <xdr:to>
      <xdr:col>8</xdr:col>
      <xdr:colOff>1047750</xdr:colOff>
      <xdr:row>22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AC8F86-0EC4-2108-41CB-869F09E46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523876</xdr:colOff>
      <xdr:row>21</xdr:row>
      <xdr:rowOff>180976</xdr:rowOff>
    </xdr:from>
    <xdr:to>
      <xdr:col>8</xdr:col>
      <xdr:colOff>1114425</xdr:colOff>
      <xdr:row>32</xdr:row>
      <xdr:rowOff>123825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DDEFEC6-B68A-7A53-9869-2679EC65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719667</xdr:colOff>
      <xdr:row>32</xdr:row>
      <xdr:rowOff>125941</xdr:rowOff>
    </xdr:from>
    <xdr:to>
      <xdr:col>2</xdr:col>
      <xdr:colOff>645584</xdr:colOff>
      <xdr:row>47</xdr:row>
      <xdr:rowOff>11641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EB7D2F4-DC5D-98D3-D166-EBC2F626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232833</xdr:colOff>
      <xdr:row>31</xdr:row>
      <xdr:rowOff>189441</xdr:rowOff>
    </xdr:from>
    <xdr:to>
      <xdr:col>11</xdr:col>
      <xdr:colOff>730250</xdr:colOff>
      <xdr:row>46</xdr:row>
      <xdr:rowOff>75141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4874BF9-3D1E-A8AF-734E-09025AC1E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896425</xdr:colOff>
      <xdr:row>14</xdr:row>
      <xdr:rowOff>17061</xdr:rowOff>
    </xdr:from>
    <xdr:to>
      <xdr:col>10</xdr:col>
      <xdr:colOff>896426</xdr:colOff>
      <xdr:row>27</xdr:row>
      <xdr:rowOff>51849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3497DB-88F6-AF3D-EAEF-7F05714E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70231-FA35-4BC0-8E60-44E9B03FA2E3}" name="Tabell1" displayName="Tabell1" ref="A3:R15" totalsRowShown="0">
  <autoFilter ref="A3:R15" xr:uid="{6F470231-FA35-4BC0-8E60-44E9B03FA2E3}"/>
  <tableColumns count="18">
    <tableColumn id="14" xr3:uid="{CEA36289-7D0A-4919-8B90-93D3F1A90E05}" name="Strategy"/>
    <tableColumn id="1" xr3:uid="{6069ECB9-B669-445B-9FF0-20F33976D255}" name="Total LCC per year" dataDxfId="31"/>
    <tableColumn id="2" xr3:uid="{9B4CF593-FC8B-40F0-8384-F1D73277D2FB}" name="2014" dataDxfId="30">
      <calculatedColumnFormula>'Results - Standard'!B8</calculatedColumnFormula>
    </tableColumn>
    <tableColumn id="3" xr3:uid="{F0DC59A6-75D1-40E4-AAA6-9A033E54327C}" name="2015" dataDxfId="29"/>
    <tableColumn id="4" xr3:uid="{CBBEFD7B-AC6A-4B8E-B506-36A9CA45470D}" name="2016" dataDxfId="28"/>
    <tableColumn id="5" xr3:uid="{EF419399-3783-4402-B844-EF55D7929AD5}" name="2017" dataDxfId="27"/>
    <tableColumn id="6" xr3:uid="{F58D3CC8-BBA4-42AC-8C13-9FF9BAB18AEC}" name="2018" dataDxfId="26"/>
    <tableColumn id="7" xr3:uid="{B92D8A29-1BFB-456C-8142-10B73CAC3B6A}" name="2019" dataDxfId="25"/>
    <tableColumn id="8" xr3:uid="{4D0E1375-0679-4B6E-B318-3B17A88E7B84}" name="2020" dataDxfId="24"/>
    <tableColumn id="16" xr3:uid="{BF371E6B-C23C-4C70-BA9F-153F052F2F2B}" name="2021" dataDxfId="23"/>
    <tableColumn id="17" xr3:uid="{183CE0BB-E288-4314-A802-77E6F1EB649A}" name="2022" dataDxfId="22"/>
    <tableColumn id="21" xr3:uid="{2B6BF5D5-9193-4118-9B27-05BB5979BE6D}" name="2023" dataDxfId="21"/>
    <tableColumn id="22" xr3:uid="{AB001FE6-D5F1-4AD2-962D-245E4CD5593D}" name="2024" dataDxfId="20"/>
    <tableColumn id="23" xr3:uid="{02D5B37B-76A2-4AB1-805A-D5F8B067A63F}" name="2025" dataDxfId="19"/>
    <tableColumn id="24" xr3:uid="{628E7905-DE2B-449E-B605-D82F50969088}" name="2026" dataDxfId="18"/>
    <tableColumn id="25" xr3:uid="{C5822DC8-2B69-44D1-8EB7-79E5ED56289A}" name="2027" dataDxfId="17"/>
    <tableColumn id="18" xr3:uid="{C53B92A7-EF6D-42B2-AE5C-AD24D01831B5}" name="2028" dataDxfId="16"/>
    <tableColumn id="15" xr3:uid="{7E4B68C4-B1CA-40AE-AA40-90FCED405A86}" name="Total" dataDxfId="15">
      <calculatedColumnFormula>SUM(Tabell1[[#This Row],[2014]:[2024]])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4C5A-6349-485E-B4C5-E0DC1E2DA226}" name="Tabell2" displayName="Tabell2" ref="A1:L13" totalsRowCount="1">
  <autoFilter ref="A1:L12" xr:uid="{A2084C5A-6349-485E-B4C5-E0DC1E2DA226}"/>
  <tableColumns count="12">
    <tableColumn id="1" xr3:uid="{9484DE26-2981-4910-A23A-50EE9AB91E36}" name="Variation" dataDxfId="14" totalsRowDxfId="13"/>
    <tableColumn id="2" xr3:uid="{58C4F777-4C23-4444-8B04-9AFE45D7EC96}" name="-25%" totalsRowFunction="custom" dataDxfId="12" totalsRowDxfId="11">
      <totalsRowFormula>SUBTOTAL(109,B3:B7)</totalsRowFormula>
    </tableColumn>
    <tableColumn id="3" xr3:uid="{8EE4255E-30F9-41ED-B6D5-CE808BA32C5C}" name="-20%" totalsRowFunction="custom" totalsRowDxfId="10">
      <totalsRowFormula>SUBTOTAL(109,C3:C7)</totalsRowFormula>
    </tableColumn>
    <tableColumn id="4" xr3:uid="{B052B590-6460-40D0-BC2E-6B2E7F03BED2}" name="-15%" totalsRowFunction="custom" totalsRowDxfId="9">
      <totalsRowFormula>SUBTOTAL(109,D3:D7)</totalsRowFormula>
    </tableColumn>
    <tableColumn id="5" xr3:uid="{73C0AF7B-DE38-46E3-8F00-8656172397A5}" name="-10%" totalsRowFunction="custom" totalsRowDxfId="8">
      <totalsRowFormula>SUBTOTAL(109,E3:E7)</totalsRowFormula>
    </tableColumn>
    <tableColumn id="6" xr3:uid="{F847E0EB-A69B-4CBC-81CA-1A87E5AC9D31}" name="-5%" totalsRowFunction="custom" totalsRowDxfId="7">
      <totalsRowFormula>SUBTOTAL(109,F3:F7)</totalsRowFormula>
    </tableColumn>
    <tableColumn id="7" xr3:uid="{AC613305-7C12-4E64-B0E7-25B2E6BCE0F4}" name="0%" totalsRowFunction="custom" totalsRowDxfId="6">
      <totalsRowFormula>SUBTOTAL(109,G3:G7)</totalsRowFormula>
    </tableColumn>
    <tableColumn id="8" xr3:uid="{5506D1CC-DCE4-4FEE-8420-21503C92EAFB}" name="5%" totalsRowFunction="custom" totalsRowDxfId="5">
      <totalsRowFormula>SUBTOTAL(109,H3:H7)</totalsRowFormula>
    </tableColumn>
    <tableColumn id="9" xr3:uid="{2D4CF7D5-6CA3-4392-9178-4688EBAF707B}" name="10%" totalsRowFunction="custom" totalsRowDxfId="4">
      <totalsRowFormula>SUBTOTAL(109,I3:I7)</totalsRowFormula>
    </tableColumn>
    <tableColumn id="10" xr3:uid="{6C062ABE-D9DF-47CB-93ED-339DCA12CBAA}" name="15%" totalsRowFunction="custom" totalsRowDxfId="3">
      <totalsRowFormula>SUBTOTAL(109,J3:J7)</totalsRowFormula>
    </tableColumn>
    <tableColumn id="11" xr3:uid="{A7A8874E-A038-40E6-B4C6-AF0D6F237F5F}" name="20%" totalsRowFunction="custom" totalsRowDxfId="2">
      <totalsRowFormula>SUBTOTAL(109,K3:K7)</totalsRowFormula>
    </tableColumn>
    <tableColumn id="12" xr3:uid="{FE563D40-4D21-4854-A6A8-B5B292FE6AE1}" name="25%" totalsRowFunction="custom" dataDxfId="1" totalsRowDxfId="0">
      <totalsRowFormula>SUBTOTAL(109,L3:L7)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0CB-49BF-4191-890A-AE61D6D1423F}">
  <dimension ref="A1:M44"/>
  <sheetViews>
    <sheetView zoomScale="130" zoomScaleNormal="130" workbookViewId="0">
      <selection activeCell="M4" sqref="M4"/>
    </sheetView>
  </sheetViews>
  <sheetFormatPr defaultRowHeight="15" x14ac:dyDescent="0.25"/>
  <cols>
    <col min="1" max="1" width="21.42578125" bestFit="1" customWidth="1"/>
    <col min="2" max="2" width="18.5703125" hidden="1" customWidth="1"/>
    <col min="3" max="3" width="27" bestFit="1" customWidth="1"/>
    <col min="4" max="4" width="18.5703125" customWidth="1"/>
    <col min="5" max="5" width="18.5703125" hidden="1" customWidth="1"/>
    <col min="6" max="6" width="25.140625" bestFit="1" customWidth="1"/>
    <col min="7" max="7" width="14.42578125" customWidth="1"/>
    <col min="9" max="9" width="13.42578125" bestFit="1" customWidth="1"/>
    <col min="11" max="12" width="17" bestFit="1" customWidth="1"/>
  </cols>
  <sheetData>
    <row r="1" spans="1:13" x14ac:dyDescent="0.25">
      <c r="A1" t="s">
        <v>142</v>
      </c>
    </row>
    <row r="2" spans="1:13" ht="15.75" thickBot="1" x14ac:dyDescent="0.3">
      <c r="A2" s="7" t="s">
        <v>27</v>
      </c>
      <c r="B2" s="7" t="s">
        <v>73</v>
      </c>
      <c r="C2" s="7" t="s">
        <v>74</v>
      </c>
      <c r="D2" s="7" t="s">
        <v>72</v>
      </c>
      <c r="E2" s="7" t="s">
        <v>70</v>
      </c>
      <c r="F2" s="7" t="s">
        <v>71</v>
      </c>
    </row>
    <row r="3" spans="1:13" x14ac:dyDescent="0.25">
      <c r="A3" s="1">
        <v>2014</v>
      </c>
      <c r="B3" s="2">
        <v>0</v>
      </c>
      <c r="C3" s="2">
        <f>2</f>
        <v>2</v>
      </c>
      <c r="D3" s="2">
        <v>0</v>
      </c>
      <c r="E3" s="2">
        <v>3</v>
      </c>
      <c r="F3" s="2">
        <v>2</v>
      </c>
      <c r="G3" s="137" t="s">
        <v>28</v>
      </c>
      <c r="I3" s="10" t="s">
        <v>56</v>
      </c>
      <c r="J3" s="11" t="s">
        <v>57</v>
      </c>
      <c r="K3" s="11" t="s">
        <v>58</v>
      </c>
      <c r="L3" s="11" t="s">
        <v>140</v>
      </c>
    </row>
    <row r="4" spans="1:13" x14ac:dyDescent="0.25">
      <c r="A4" s="3">
        <v>2015</v>
      </c>
      <c r="B4">
        <v>3</v>
      </c>
      <c r="C4">
        <v>0</v>
      </c>
      <c r="D4">
        <v>1</v>
      </c>
      <c r="E4">
        <v>3</v>
      </c>
      <c r="F4">
        <v>1</v>
      </c>
      <c r="G4" s="138"/>
      <c r="I4" s="20">
        <v>41778.839583333298</v>
      </c>
      <c r="J4" s="21" t="s">
        <v>59</v>
      </c>
      <c r="K4" s="134">
        <v>1</v>
      </c>
      <c r="L4" s="79" t="s">
        <v>141</v>
      </c>
      <c r="M4" s="9" t="s">
        <v>215</v>
      </c>
    </row>
    <row r="5" spans="1:13" x14ac:dyDescent="0.25">
      <c r="A5" s="3">
        <v>2016</v>
      </c>
      <c r="B5">
        <v>3</v>
      </c>
      <c r="C5">
        <v>1</v>
      </c>
      <c r="D5">
        <v>0</v>
      </c>
      <c r="E5">
        <v>2</v>
      </c>
      <c r="F5">
        <v>0</v>
      </c>
      <c r="G5" s="138"/>
      <c r="I5" s="20">
        <v>41865.585416666698</v>
      </c>
      <c r="J5" s="22" t="s">
        <v>59</v>
      </c>
      <c r="K5" s="22">
        <v>1</v>
      </c>
      <c r="L5" s="65"/>
    </row>
    <row r="6" spans="1:13" x14ac:dyDescent="0.25">
      <c r="A6" s="3">
        <v>2017</v>
      </c>
      <c r="B6">
        <v>1</v>
      </c>
      <c r="C6">
        <v>0</v>
      </c>
      <c r="D6">
        <v>0</v>
      </c>
      <c r="E6">
        <v>4</v>
      </c>
      <c r="F6">
        <v>3</v>
      </c>
      <c r="G6" s="138"/>
      <c r="I6" s="23">
        <v>41883</v>
      </c>
      <c r="J6" s="21" t="s">
        <v>60</v>
      </c>
      <c r="K6" s="21" t="s">
        <v>61</v>
      </c>
      <c r="L6" s="65"/>
    </row>
    <row r="7" spans="1:13" ht="15.75" thickBot="1" x14ac:dyDescent="0.3">
      <c r="A7" s="4">
        <v>2018</v>
      </c>
      <c r="B7" s="5">
        <v>1</v>
      </c>
      <c r="C7" s="5">
        <v>2</v>
      </c>
      <c r="D7" s="5">
        <v>1</v>
      </c>
      <c r="E7" s="5">
        <v>3</v>
      </c>
      <c r="F7" s="5">
        <v>2</v>
      </c>
      <c r="G7" s="139"/>
      <c r="I7" s="24">
        <v>41913</v>
      </c>
      <c r="J7" s="22" t="s">
        <v>60</v>
      </c>
      <c r="K7" s="22" t="s">
        <v>62</v>
      </c>
      <c r="L7" s="65"/>
    </row>
    <row r="8" spans="1:13" x14ac:dyDescent="0.25">
      <c r="I8" s="20">
        <v>42001.255555555603</v>
      </c>
      <c r="J8" s="21" t="s">
        <v>59</v>
      </c>
      <c r="K8" s="21">
        <v>0</v>
      </c>
      <c r="L8" s="65"/>
    </row>
    <row r="9" spans="1:13" x14ac:dyDescent="0.25">
      <c r="I9" s="25">
        <v>42044.974999999999</v>
      </c>
      <c r="J9" s="26" t="s">
        <v>59</v>
      </c>
      <c r="K9" s="26">
        <v>0</v>
      </c>
      <c r="L9" s="65"/>
    </row>
    <row r="10" spans="1:13" x14ac:dyDescent="0.25">
      <c r="I10" s="25">
        <v>42068.0444444444</v>
      </c>
      <c r="J10" s="27" t="s">
        <v>59</v>
      </c>
      <c r="K10" s="27">
        <v>0</v>
      </c>
      <c r="L10" s="65"/>
    </row>
    <row r="11" spans="1:13" x14ac:dyDescent="0.25">
      <c r="I11" s="25">
        <v>42090.2993055556</v>
      </c>
      <c r="J11" s="26" t="s">
        <v>59</v>
      </c>
      <c r="K11" s="26">
        <v>1</v>
      </c>
      <c r="L11" s="65"/>
    </row>
    <row r="12" spans="1:13" x14ac:dyDescent="0.25">
      <c r="I12" s="28">
        <v>42125</v>
      </c>
      <c r="J12" s="27" t="s">
        <v>60</v>
      </c>
      <c r="K12" s="29" t="s">
        <v>63</v>
      </c>
      <c r="L12" s="65"/>
    </row>
    <row r="13" spans="1:13" x14ac:dyDescent="0.25">
      <c r="I13" s="30">
        <v>42249</v>
      </c>
      <c r="J13" s="26" t="s">
        <v>64</v>
      </c>
      <c r="K13" s="26" t="s">
        <v>65</v>
      </c>
      <c r="L13" s="65"/>
    </row>
    <row r="14" spans="1:13" x14ac:dyDescent="0.25">
      <c r="I14" s="28">
        <v>42249</v>
      </c>
      <c r="J14" s="27" t="s">
        <v>64</v>
      </c>
      <c r="K14" s="27" t="s">
        <v>65</v>
      </c>
      <c r="L14" s="65"/>
    </row>
    <row r="15" spans="1:13" x14ac:dyDescent="0.25">
      <c r="A15" t="s">
        <v>143</v>
      </c>
      <c r="I15" s="30">
        <v>42339</v>
      </c>
      <c r="J15" s="26" t="s">
        <v>64</v>
      </c>
      <c r="K15" s="26" t="s">
        <v>66</v>
      </c>
      <c r="L15" s="79" t="s">
        <v>141</v>
      </c>
    </row>
    <row r="16" spans="1:13" ht="15.75" thickBot="1" x14ac:dyDescent="0.3">
      <c r="A16" s="7" t="s">
        <v>27</v>
      </c>
      <c r="B16" s="7" t="s">
        <v>73</v>
      </c>
      <c r="C16" s="7" t="s">
        <v>74</v>
      </c>
      <c r="D16" s="7" t="s">
        <v>72</v>
      </c>
      <c r="E16" s="7" t="s">
        <v>70</v>
      </c>
      <c r="F16" s="7" t="s">
        <v>71</v>
      </c>
      <c r="I16" s="17">
        <v>42374.354166666701</v>
      </c>
      <c r="J16" s="13" t="s">
        <v>59</v>
      </c>
      <c r="K16" s="13">
        <v>0</v>
      </c>
      <c r="L16" s="65"/>
    </row>
    <row r="17" spans="1:12" x14ac:dyDescent="0.25">
      <c r="A17" s="1">
        <v>2014</v>
      </c>
      <c r="B17" s="2">
        <v>0</v>
      </c>
      <c r="C17" s="2">
        <v>0</v>
      </c>
      <c r="D17" s="2">
        <v>0</v>
      </c>
      <c r="E17" s="2">
        <v>3</v>
      </c>
      <c r="F17" s="133">
        <v>1</v>
      </c>
      <c r="G17" s="137" t="s">
        <v>28</v>
      </c>
      <c r="I17" s="17">
        <v>42438.979861111096</v>
      </c>
      <c r="J17" s="14" t="s">
        <v>59</v>
      </c>
      <c r="K17" s="14">
        <v>0</v>
      </c>
      <c r="L17" s="65"/>
    </row>
    <row r="18" spans="1:12" x14ac:dyDescent="0.25">
      <c r="A18" s="3">
        <v>2015</v>
      </c>
      <c r="B18">
        <v>3</v>
      </c>
      <c r="C18">
        <v>1</v>
      </c>
      <c r="D18">
        <v>0</v>
      </c>
      <c r="E18">
        <v>3</v>
      </c>
      <c r="F18">
        <v>0</v>
      </c>
      <c r="G18" s="138"/>
      <c r="I18" s="15">
        <v>42475</v>
      </c>
      <c r="J18" s="13" t="s">
        <v>64</v>
      </c>
      <c r="K18" s="13" t="s">
        <v>66</v>
      </c>
      <c r="L18" s="65"/>
    </row>
    <row r="19" spans="1:12" x14ac:dyDescent="0.25">
      <c r="A19" s="3">
        <v>2016</v>
      </c>
      <c r="B19">
        <v>3</v>
      </c>
      <c r="C19">
        <v>0</v>
      </c>
      <c r="D19">
        <v>0</v>
      </c>
      <c r="E19">
        <v>2</v>
      </c>
      <c r="F19">
        <v>0</v>
      </c>
      <c r="G19" s="138"/>
      <c r="I19" s="16">
        <v>42475</v>
      </c>
      <c r="J19" s="14" t="s">
        <v>64</v>
      </c>
      <c r="K19" s="14" t="s">
        <v>66</v>
      </c>
      <c r="L19" s="65"/>
    </row>
    <row r="20" spans="1:12" x14ac:dyDescent="0.25">
      <c r="A20" s="3">
        <v>2017</v>
      </c>
      <c r="B20">
        <v>1</v>
      </c>
      <c r="C20">
        <v>1</v>
      </c>
      <c r="D20">
        <v>0</v>
      </c>
      <c r="E20">
        <v>4</v>
      </c>
      <c r="F20">
        <v>0</v>
      </c>
      <c r="G20" s="138"/>
      <c r="I20" s="18">
        <v>42487</v>
      </c>
      <c r="J20" s="13" t="s">
        <v>64</v>
      </c>
      <c r="K20" s="13" t="s">
        <v>65</v>
      </c>
      <c r="L20" s="65"/>
    </row>
    <row r="21" spans="1:12" ht="15.75" thickBot="1" x14ac:dyDescent="0.3">
      <c r="A21" s="4">
        <v>2018</v>
      </c>
      <c r="B21" s="5">
        <v>1</v>
      </c>
      <c r="C21" s="5">
        <v>0</v>
      </c>
      <c r="D21" s="5">
        <v>0</v>
      </c>
      <c r="E21" s="5">
        <v>3</v>
      </c>
      <c r="F21" s="5">
        <v>0</v>
      </c>
      <c r="G21" s="139"/>
      <c r="I21" s="19">
        <v>42491</v>
      </c>
      <c r="J21" s="14" t="s">
        <v>60</v>
      </c>
      <c r="K21" s="14" t="s">
        <v>62</v>
      </c>
      <c r="L21" s="65"/>
    </row>
    <row r="22" spans="1:12" x14ac:dyDescent="0.25">
      <c r="I22" s="31">
        <v>42759.929861111101</v>
      </c>
      <c r="J22" s="32" t="s">
        <v>59</v>
      </c>
      <c r="K22" s="32">
        <v>1</v>
      </c>
      <c r="L22" s="65"/>
    </row>
    <row r="23" spans="1:12" x14ac:dyDescent="0.25">
      <c r="I23" s="31">
        <v>42761.091666666704</v>
      </c>
      <c r="J23" s="33" t="s">
        <v>59</v>
      </c>
      <c r="K23" s="33">
        <v>0</v>
      </c>
      <c r="L23" s="65"/>
    </row>
    <row r="24" spans="1:12" x14ac:dyDescent="0.25">
      <c r="I24" s="31">
        <v>42815.414583333302</v>
      </c>
      <c r="J24" s="32" t="s">
        <v>59</v>
      </c>
      <c r="K24" s="32">
        <v>1</v>
      </c>
      <c r="L24" s="65"/>
    </row>
    <row r="25" spans="1:12" x14ac:dyDescent="0.25">
      <c r="I25" s="31">
        <v>42826.462500000001</v>
      </c>
      <c r="J25" s="33" t="s">
        <v>59</v>
      </c>
      <c r="K25" s="33">
        <v>1</v>
      </c>
      <c r="L25" s="65"/>
    </row>
    <row r="26" spans="1:12" x14ac:dyDescent="0.25">
      <c r="I26" s="34">
        <v>42829</v>
      </c>
      <c r="J26" s="32" t="s">
        <v>64</v>
      </c>
      <c r="K26" s="32" t="s">
        <v>66</v>
      </c>
      <c r="L26" s="79" t="s">
        <v>141</v>
      </c>
    </row>
    <row r="27" spans="1:12" x14ac:dyDescent="0.25">
      <c r="I27" s="35">
        <v>43110.083333333299</v>
      </c>
      <c r="J27" s="36" t="s">
        <v>59</v>
      </c>
      <c r="K27" s="36">
        <v>0</v>
      </c>
      <c r="L27" s="65"/>
    </row>
    <row r="28" spans="1:12" x14ac:dyDescent="0.25">
      <c r="I28" s="35">
        <v>43139.028472222199</v>
      </c>
      <c r="J28" s="37" t="s">
        <v>59</v>
      </c>
      <c r="K28" s="37">
        <v>1</v>
      </c>
      <c r="L28" s="65"/>
    </row>
    <row r="29" spans="1:12" x14ac:dyDescent="0.25">
      <c r="I29" s="35">
        <v>43152.002777777801</v>
      </c>
      <c r="J29" s="36" t="s">
        <v>59</v>
      </c>
      <c r="K29" s="36">
        <v>1</v>
      </c>
      <c r="L29" s="65"/>
    </row>
    <row r="30" spans="1:12" x14ac:dyDescent="0.25">
      <c r="I30" s="38">
        <v>43191</v>
      </c>
      <c r="J30" s="37" t="s">
        <v>60</v>
      </c>
      <c r="K30" s="37" t="s">
        <v>62</v>
      </c>
      <c r="L30" s="65"/>
    </row>
    <row r="31" spans="1:12" x14ac:dyDescent="0.25">
      <c r="I31" s="39">
        <v>43252</v>
      </c>
      <c r="J31" s="36" t="s">
        <v>60</v>
      </c>
      <c r="K31" s="40" t="s">
        <v>63</v>
      </c>
      <c r="L31" s="65"/>
    </row>
    <row r="32" spans="1:12" x14ac:dyDescent="0.25">
      <c r="I32" s="41">
        <v>43343</v>
      </c>
      <c r="J32" s="37" t="s">
        <v>64</v>
      </c>
      <c r="K32" s="37" t="s">
        <v>65</v>
      </c>
      <c r="L32" s="65"/>
    </row>
    <row r="33" spans="9:12" x14ac:dyDescent="0.25">
      <c r="I33" s="41">
        <v>43374</v>
      </c>
      <c r="J33" s="36" t="s">
        <v>60</v>
      </c>
      <c r="K33" s="36" t="s">
        <v>62</v>
      </c>
      <c r="L33" s="65"/>
    </row>
    <row r="34" spans="9:12" hidden="1" x14ac:dyDescent="0.25">
      <c r="I34" s="15">
        <v>43525</v>
      </c>
      <c r="J34" s="13" t="s">
        <v>67</v>
      </c>
      <c r="K34" s="13" t="s">
        <v>68</v>
      </c>
      <c r="L34" s="65"/>
    </row>
    <row r="35" spans="9:12" hidden="1" x14ac:dyDescent="0.25">
      <c r="I35" s="12">
        <v>43525.218055555597</v>
      </c>
      <c r="J35" s="14" t="s">
        <v>59</v>
      </c>
      <c r="K35" s="14">
        <v>0</v>
      </c>
      <c r="L35" s="65"/>
    </row>
    <row r="36" spans="9:12" hidden="1" x14ac:dyDescent="0.25">
      <c r="I36" s="15">
        <v>43556</v>
      </c>
      <c r="J36" s="13" t="s">
        <v>60</v>
      </c>
      <c r="K36" s="13" t="s">
        <v>62</v>
      </c>
      <c r="L36" s="65"/>
    </row>
    <row r="37" spans="9:12" hidden="1" x14ac:dyDescent="0.25">
      <c r="I37" s="15">
        <v>43556</v>
      </c>
      <c r="J37" s="14" t="s">
        <v>60</v>
      </c>
      <c r="K37" s="14" t="s">
        <v>62</v>
      </c>
      <c r="L37" s="65"/>
    </row>
    <row r="38" spans="9:12" hidden="1" x14ac:dyDescent="0.25">
      <c r="I38" s="15">
        <v>43644</v>
      </c>
      <c r="J38" s="13" t="s">
        <v>64</v>
      </c>
      <c r="K38" s="13" t="s">
        <v>65</v>
      </c>
      <c r="L38" s="65"/>
    </row>
    <row r="39" spans="9:12" hidden="1" x14ac:dyDescent="0.25">
      <c r="I39" s="16">
        <v>43755</v>
      </c>
      <c r="J39" s="14" t="s">
        <v>64</v>
      </c>
      <c r="K39" s="14" t="s">
        <v>65</v>
      </c>
      <c r="L39" s="65"/>
    </row>
    <row r="40" spans="9:12" hidden="1" x14ac:dyDescent="0.25">
      <c r="I40" s="42">
        <v>43922</v>
      </c>
      <c r="J40" s="43" t="s">
        <v>60</v>
      </c>
      <c r="K40" s="43" t="s">
        <v>62</v>
      </c>
      <c r="L40" s="65"/>
    </row>
    <row r="41" spans="9:12" hidden="1" x14ac:dyDescent="0.25">
      <c r="I41" s="44">
        <v>44112</v>
      </c>
      <c r="J41" s="45" t="s">
        <v>64</v>
      </c>
      <c r="K41" s="45" t="s">
        <v>69</v>
      </c>
      <c r="L41" s="65"/>
    </row>
    <row r="42" spans="9:12" hidden="1" x14ac:dyDescent="0.25">
      <c r="I42" s="42">
        <v>44132</v>
      </c>
      <c r="J42" s="43" t="s">
        <v>64</v>
      </c>
      <c r="K42" s="43" t="s">
        <v>65</v>
      </c>
      <c r="L42" s="65"/>
    </row>
    <row r="43" spans="9:12" hidden="1" x14ac:dyDescent="0.25">
      <c r="I43" s="44">
        <v>44379</v>
      </c>
      <c r="J43" s="45" t="s">
        <v>64</v>
      </c>
      <c r="K43" s="45" t="s">
        <v>65</v>
      </c>
      <c r="L43" s="65"/>
    </row>
    <row r="44" spans="9:12" hidden="1" x14ac:dyDescent="0.25"/>
  </sheetData>
  <mergeCells count="2">
    <mergeCell ref="G3:G7"/>
    <mergeCell ref="G17:G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54" zoomScale="115" zoomScaleNormal="115" workbookViewId="0">
      <selection activeCell="D7" sqref="D7"/>
    </sheetView>
  </sheetViews>
  <sheetFormatPr defaultRowHeight="15" x14ac:dyDescent="0.25"/>
  <cols>
    <col min="1" max="1" width="36.7109375" bestFit="1" customWidth="1"/>
    <col min="2" max="2" width="47.28515625" bestFit="1" customWidth="1"/>
    <col min="3" max="3" width="13.5703125" customWidth="1"/>
    <col min="4" max="4" width="12.5703125" bestFit="1" customWidth="1"/>
    <col min="5" max="5" width="16.7109375" bestFit="1" customWidth="1"/>
    <col min="6" max="6" width="27.85546875" bestFit="1" customWidth="1"/>
    <col min="7" max="7" width="32.28515625" bestFit="1" customWidth="1"/>
  </cols>
  <sheetData>
    <row r="1" spans="1:8" x14ac:dyDescent="0.25">
      <c r="A1" s="7" t="s">
        <v>0</v>
      </c>
      <c r="B1" s="7" t="s">
        <v>1</v>
      </c>
      <c r="C1" s="7" t="s">
        <v>43</v>
      </c>
      <c r="D1" s="7" t="s">
        <v>2</v>
      </c>
      <c r="E1" s="7" t="s">
        <v>4</v>
      </c>
      <c r="F1" s="7" t="s">
        <v>32</v>
      </c>
    </row>
    <row r="2" spans="1:8" x14ac:dyDescent="0.25">
      <c r="A2" s="8" t="s">
        <v>3</v>
      </c>
      <c r="B2" t="s">
        <v>7</v>
      </c>
      <c r="D2">
        <v>0.04</v>
      </c>
      <c r="E2" t="s">
        <v>47</v>
      </c>
    </row>
    <row r="3" spans="1:8" x14ac:dyDescent="0.25">
      <c r="B3" t="s">
        <v>124</v>
      </c>
      <c r="D3">
        <v>0.34210000000000002</v>
      </c>
      <c r="E3" t="s">
        <v>47</v>
      </c>
      <c r="F3" t="s">
        <v>123</v>
      </c>
    </row>
    <row r="4" spans="1:8" ht="45" x14ac:dyDescent="0.25">
      <c r="B4" s="112" t="s">
        <v>192</v>
      </c>
      <c r="C4" s="9"/>
      <c r="D4" s="9">
        <v>0.5</v>
      </c>
    </row>
    <row r="6" spans="1:8" x14ac:dyDescent="0.25">
      <c r="A6" s="8" t="s">
        <v>5</v>
      </c>
      <c r="B6" t="s">
        <v>8</v>
      </c>
      <c r="D6">
        <v>9</v>
      </c>
      <c r="E6" t="s">
        <v>31</v>
      </c>
      <c r="F6" t="s">
        <v>33</v>
      </c>
    </row>
    <row r="7" spans="1:8" x14ac:dyDescent="0.25">
      <c r="B7" t="s">
        <v>38</v>
      </c>
      <c r="C7" t="s">
        <v>24</v>
      </c>
      <c r="D7">
        <f>7500/2</f>
        <v>3750</v>
      </c>
      <c r="E7" t="s">
        <v>19</v>
      </c>
      <c r="F7" t="s">
        <v>180</v>
      </c>
      <c r="H7" s="49">
        <f>D7/SUM(D7:D8)</f>
        <v>0.18072289156626506</v>
      </c>
    </row>
    <row r="8" spans="1:8" x14ac:dyDescent="0.25">
      <c r="C8" t="s">
        <v>34</v>
      </c>
      <c r="D8">
        <f>34000/2</f>
        <v>17000</v>
      </c>
      <c r="E8" t="s">
        <v>19</v>
      </c>
      <c r="F8" t="s">
        <v>33</v>
      </c>
    </row>
    <row r="9" spans="1:8" x14ac:dyDescent="0.25">
      <c r="C9" t="s">
        <v>35</v>
      </c>
      <c r="D9">
        <f>D8*0.5</f>
        <v>8500</v>
      </c>
      <c r="E9" t="s">
        <v>19</v>
      </c>
      <c r="F9" t="s">
        <v>181</v>
      </c>
      <c r="H9" s="49">
        <f>D9/SUM(D7:D8)</f>
        <v>0.40963855421686746</v>
      </c>
    </row>
    <row r="10" spans="1:8" x14ac:dyDescent="0.25">
      <c r="C10" t="s">
        <v>36</v>
      </c>
      <c r="D10">
        <f>D8*0.5</f>
        <v>8500</v>
      </c>
      <c r="E10" t="s">
        <v>19</v>
      </c>
      <c r="F10" t="s">
        <v>37</v>
      </c>
    </row>
    <row r="11" spans="1:8" x14ac:dyDescent="0.25">
      <c r="B11" t="s">
        <v>39</v>
      </c>
      <c r="D11" s="64">
        <f>D7/365</f>
        <v>10.273972602739725</v>
      </c>
      <c r="E11" t="s">
        <v>40</v>
      </c>
      <c r="F11" t="s">
        <v>41</v>
      </c>
      <c r="G11" t="s">
        <v>42</v>
      </c>
    </row>
    <row r="14" spans="1:8" x14ac:dyDescent="0.25">
      <c r="A14" s="8" t="s">
        <v>6</v>
      </c>
      <c r="B14" s="50" t="s">
        <v>178</v>
      </c>
      <c r="C14" s="50" t="s">
        <v>160</v>
      </c>
      <c r="D14" s="106">
        <v>54422</v>
      </c>
      <c r="E14" s="50" t="s">
        <v>9</v>
      </c>
      <c r="F14" s="50" t="s">
        <v>171</v>
      </c>
      <c r="G14" s="9" t="s">
        <v>198</v>
      </c>
    </row>
    <row r="15" spans="1:8" x14ac:dyDescent="0.25">
      <c r="B15" s="50"/>
      <c r="C15" s="50" t="s">
        <v>159</v>
      </c>
      <c r="D15" s="106">
        <v>36281</v>
      </c>
      <c r="E15" s="50" t="s">
        <v>9</v>
      </c>
      <c r="F15" s="50" t="s">
        <v>171</v>
      </c>
      <c r="G15" s="9" t="s">
        <v>198</v>
      </c>
    </row>
    <row r="16" spans="1:8" x14ac:dyDescent="0.25">
      <c r="B16" s="50"/>
      <c r="C16" s="9" t="s">
        <v>177</v>
      </c>
      <c r="D16" s="118">
        <v>7067</v>
      </c>
      <c r="E16" s="9" t="s">
        <v>9</v>
      </c>
      <c r="F16" s="9" t="s">
        <v>171</v>
      </c>
      <c r="G16" s="9" t="s">
        <v>198</v>
      </c>
    </row>
    <row r="17" spans="1:7" x14ac:dyDescent="0.25">
      <c r="B17" s="50"/>
      <c r="C17" s="116" t="s">
        <v>174</v>
      </c>
      <c r="D17" s="117">
        <f>(D14+D15)/2</f>
        <v>45351.5</v>
      </c>
      <c r="E17" s="116" t="s">
        <v>9</v>
      </c>
      <c r="F17" s="116" t="s">
        <v>86</v>
      </c>
      <c r="G17" s="9"/>
    </row>
    <row r="18" spans="1:7" x14ac:dyDescent="0.25">
      <c r="B18" s="50" t="s">
        <v>182</v>
      </c>
      <c r="C18" s="50" t="s">
        <v>183</v>
      </c>
      <c r="D18" s="108">
        <f>1+0.25</f>
        <v>1.25</v>
      </c>
      <c r="E18" s="50" t="s">
        <v>23</v>
      </c>
      <c r="F18" s="50" t="s">
        <v>161</v>
      </c>
      <c r="G18" s="9"/>
    </row>
    <row r="19" spans="1:7" x14ac:dyDescent="0.25">
      <c r="B19" s="50"/>
      <c r="C19" s="50" t="s">
        <v>184</v>
      </c>
      <c r="D19" s="108">
        <f>3+1</f>
        <v>4</v>
      </c>
      <c r="E19" s="50" t="s">
        <v>23</v>
      </c>
      <c r="F19" s="50" t="s">
        <v>161</v>
      </c>
      <c r="G19" s="9"/>
    </row>
    <row r="20" spans="1:7" x14ac:dyDescent="0.25">
      <c r="B20" s="50" t="s">
        <v>176</v>
      </c>
      <c r="C20" s="50" t="s">
        <v>172</v>
      </c>
      <c r="D20" s="107">
        <v>6141</v>
      </c>
      <c r="E20" s="50" t="s">
        <v>9</v>
      </c>
      <c r="F20" s="50" t="s">
        <v>161</v>
      </c>
      <c r="G20" s="50"/>
    </row>
    <row r="21" spans="1:7" x14ac:dyDescent="0.25">
      <c r="C21" s="50" t="s">
        <v>173</v>
      </c>
      <c r="D21" s="107">
        <v>10746</v>
      </c>
      <c r="E21" s="50" t="s">
        <v>9</v>
      </c>
      <c r="F21" s="50" t="s">
        <v>161</v>
      </c>
      <c r="G21" s="50"/>
    </row>
    <row r="22" spans="1:7" x14ac:dyDescent="0.25">
      <c r="C22" s="9" t="s">
        <v>175</v>
      </c>
      <c r="D22" s="115">
        <v>319922</v>
      </c>
      <c r="E22" s="9" t="s">
        <v>9</v>
      </c>
      <c r="F22" s="9" t="s">
        <v>161</v>
      </c>
      <c r="G22" s="9" t="s">
        <v>198</v>
      </c>
    </row>
    <row r="23" spans="1:7" x14ac:dyDescent="0.25">
      <c r="B23" s="50" t="s">
        <v>163</v>
      </c>
      <c r="C23" s="50"/>
      <c r="D23" s="50">
        <v>6</v>
      </c>
      <c r="E23" s="50" t="s">
        <v>164</v>
      </c>
      <c r="F23" t="s">
        <v>170</v>
      </c>
    </row>
    <row r="24" spans="1:7" x14ac:dyDescent="0.25">
      <c r="B24" s="50" t="s">
        <v>165</v>
      </c>
      <c r="C24" s="50"/>
      <c r="D24" s="50">
        <v>2000</v>
      </c>
      <c r="E24" s="50" t="s">
        <v>166</v>
      </c>
      <c r="F24" t="s">
        <v>170</v>
      </c>
    </row>
    <row r="25" spans="1:7" x14ac:dyDescent="0.25">
      <c r="B25" s="50" t="s">
        <v>167</v>
      </c>
      <c r="C25" s="50"/>
      <c r="D25" s="50">
        <v>6000</v>
      </c>
      <c r="E25" s="50" t="s">
        <v>168</v>
      </c>
      <c r="F25" t="s">
        <v>170</v>
      </c>
    </row>
    <row r="26" spans="1:7" x14ac:dyDescent="0.25">
      <c r="B26" s="7" t="s">
        <v>169</v>
      </c>
      <c r="C26" s="7"/>
      <c r="D26" s="69">
        <f>D25+D23*D24</f>
        <v>18000</v>
      </c>
      <c r="E26" s="7" t="s">
        <v>168</v>
      </c>
      <c r="F26" s="7" t="s">
        <v>86</v>
      </c>
    </row>
    <row r="27" spans="1:7" x14ac:dyDescent="0.25">
      <c r="D27" s="55"/>
    </row>
    <row r="28" spans="1:7" x14ac:dyDescent="0.25">
      <c r="A28" s="8" t="s">
        <v>17</v>
      </c>
      <c r="B28" t="s">
        <v>10</v>
      </c>
      <c r="C28" t="s">
        <v>24</v>
      </c>
      <c r="D28">
        <v>0.02</v>
      </c>
      <c r="E28" t="s">
        <v>47</v>
      </c>
      <c r="F28" t="s">
        <v>44</v>
      </c>
    </row>
    <row r="29" spans="1:7" x14ac:dyDescent="0.25">
      <c r="C29" t="s">
        <v>25</v>
      </c>
      <c r="D29">
        <v>0.06</v>
      </c>
      <c r="E29" t="s">
        <v>47</v>
      </c>
      <c r="F29" t="s">
        <v>44</v>
      </c>
    </row>
    <row r="30" spans="1:7" x14ac:dyDescent="0.25">
      <c r="C30" t="s">
        <v>26</v>
      </c>
      <c r="D30">
        <v>0.2</v>
      </c>
      <c r="E30" t="s">
        <v>47</v>
      </c>
      <c r="F30" t="s">
        <v>44</v>
      </c>
    </row>
    <row r="32" spans="1:7" x14ac:dyDescent="0.25">
      <c r="B32" t="s">
        <v>11</v>
      </c>
      <c r="C32" t="s">
        <v>24</v>
      </c>
      <c r="D32">
        <v>15</v>
      </c>
      <c r="E32" t="s">
        <v>47</v>
      </c>
      <c r="F32" t="s">
        <v>44</v>
      </c>
    </row>
    <row r="33" spans="2:7" x14ac:dyDescent="0.25">
      <c r="C33" t="s">
        <v>25</v>
      </c>
      <c r="D33">
        <v>20</v>
      </c>
      <c r="E33" t="s">
        <v>47</v>
      </c>
      <c r="F33" t="s">
        <v>44</v>
      </c>
    </row>
    <row r="34" spans="2:7" x14ac:dyDescent="0.25">
      <c r="C34" t="s">
        <v>26</v>
      </c>
      <c r="D34">
        <v>15</v>
      </c>
      <c r="E34" t="s">
        <v>47</v>
      </c>
      <c r="F34" t="s">
        <v>44</v>
      </c>
    </row>
    <row r="36" spans="2:7" x14ac:dyDescent="0.25">
      <c r="B36" t="s">
        <v>12</v>
      </c>
      <c r="C36" t="s">
        <v>24</v>
      </c>
      <c r="D36">
        <v>269</v>
      </c>
      <c r="E36" t="s">
        <v>45</v>
      </c>
      <c r="F36" t="s">
        <v>44</v>
      </c>
    </row>
    <row r="37" spans="2:7" x14ac:dyDescent="0.25">
      <c r="C37" t="s">
        <v>25</v>
      </c>
      <c r="D37">
        <v>816</v>
      </c>
      <c r="E37" t="s">
        <v>45</v>
      </c>
      <c r="F37" t="s">
        <v>44</v>
      </c>
    </row>
    <row r="38" spans="2:7" x14ac:dyDescent="0.25">
      <c r="C38" t="s">
        <v>26</v>
      </c>
      <c r="D38">
        <v>1238</v>
      </c>
      <c r="E38" t="s">
        <v>45</v>
      </c>
      <c r="F38" t="s">
        <v>44</v>
      </c>
    </row>
    <row r="40" spans="2:7" x14ac:dyDescent="0.25">
      <c r="B40" t="s">
        <v>13</v>
      </c>
      <c r="C40" t="s">
        <v>24</v>
      </c>
      <c r="D40">
        <v>61</v>
      </c>
      <c r="E40" t="s">
        <v>46</v>
      </c>
      <c r="F40" t="s">
        <v>44</v>
      </c>
    </row>
    <row r="41" spans="2:7" x14ac:dyDescent="0.25">
      <c r="C41" t="s">
        <v>25</v>
      </c>
      <c r="D41">
        <v>71</v>
      </c>
      <c r="E41" t="s">
        <v>46</v>
      </c>
      <c r="F41" t="s">
        <v>44</v>
      </c>
    </row>
    <row r="42" spans="2:7" x14ac:dyDescent="0.25">
      <c r="C42" t="s">
        <v>26</v>
      </c>
      <c r="D42">
        <v>104</v>
      </c>
      <c r="E42" t="s">
        <v>46</v>
      </c>
      <c r="F42" t="s">
        <v>44</v>
      </c>
    </row>
    <row r="44" spans="2:7" x14ac:dyDescent="0.25">
      <c r="B44" t="s">
        <v>20</v>
      </c>
      <c r="C44" t="s">
        <v>24</v>
      </c>
      <c r="D44">
        <v>450</v>
      </c>
      <c r="E44" t="s">
        <v>22</v>
      </c>
      <c r="G44" t="s">
        <v>48</v>
      </c>
    </row>
    <row r="45" spans="2:7" x14ac:dyDescent="0.25">
      <c r="C45" t="s">
        <v>25</v>
      </c>
      <c r="D45">
        <v>614</v>
      </c>
      <c r="E45" t="s">
        <v>22</v>
      </c>
      <c r="G45" t="s">
        <v>48</v>
      </c>
    </row>
    <row r="46" spans="2:7" x14ac:dyDescent="0.25">
      <c r="C46" t="s">
        <v>26</v>
      </c>
      <c r="D46">
        <v>79</v>
      </c>
      <c r="E46" t="s">
        <v>22</v>
      </c>
      <c r="G46" t="s">
        <v>48</v>
      </c>
    </row>
    <row r="48" spans="2:7" x14ac:dyDescent="0.25">
      <c r="B48" t="s">
        <v>21</v>
      </c>
      <c r="C48" t="s">
        <v>24</v>
      </c>
      <c r="D48" s="64">
        <f>3+20/60</f>
        <v>3.3333333333333335</v>
      </c>
      <c r="E48" t="s">
        <v>23</v>
      </c>
      <c r="G48" t="s">
        <v>48</v>
      </c>
    </row>
    <row r="49" spans="1:7" x14ac:dyDescent="0.25">
      <c r="C49" t="s">
        <v>25</v>
      </c>
      <c r="D49" s="64">
        <f>4+25/60</f>
        <v>4.416666666666667</v>
      </c>
      <c r="E49" t="s">
        <v>23</v>
      </c>
      <c r="G49" t="s">
        <v>48</v>
      </c>
    </row>
    <row r="50" spans="1:7" x14ac:dyDescent="0.25">
      <c r="C50" t="s">
        <v>26</v>
      </c>
      <c r="D50" s="64">
        <f>49/60</f>
        <v>0.81666666666666665</v>
      </c>
      <c r="E50" t="s">
        <v>23</v>
      </c>
      <c r="G50" t="s">
        <v>48</v>
      </c>
    </row>
    <row r="52" spans="1:7" x14ac:dyDescent="0.25">
      <c r="B52" s="7" t="s">
        <v>90</v>
      </c>
      <c r="C52" s="7" t="s">
        <v>24</v>
      </c>
      <c r="D52" s="69">
        <f>D48*(1+D28)*(1+D32)*D36+D44*D40</f>
        <v>42083.600000000006</v>
      </c>
      <c r="E52" s="7" t="s">
        <v>84</v>
      </c>
      <c r="F52" s="7" t="s">
        <v>86</v>
      </c>
    </row>
    <row r="53" spans="1:7" x14ac:dyDescent="0.25">
      <c r="B53" s="7"/>
      <c r="C53" s="7" t="s">
        <v>25</v>
      </c>
      <c r="D53" s="69">
        <f>D49*(1+D29)*(1+D33)*D37+D45*D41</f>
        <v>123819.04000000001</v>
      </c>
      <c r="E53" s="7" t="s">
        <v>84</v>
      </c>
      <c r="F53" s="7" t="s">
        <v>86</v>
      </c>
    </row>
    <row r="54" spans="1:7" x14ac:dyDescent="0.25">
      <c r="B54" s="7"/>
      <c r="C54" s="7" t="s">
        <v>26</v>
      </c>
      <c r="D54" s="69">
        <f>D50*(1+D30)*(1+D34)*D38+D46*D42</f>
        <v>27627.84</v>
      </c>
      <c r="E54" s="7" t="s">
        <v>84</v>
      </c>
      <c r="F54" s="7" t="s">
        <v>86</v>
      </c>
    </row>
    <row r="57" spans="1:7" x14ac:dyDescent="0.25">
      <c r="A57" s="8" t="s">
        <v>18</v>
      </c>
      <c r="B57" t="s">
        <v>92</v>
      </c>
      <c r="C57" t="s">
        <v>24</v>
      </c>
      <c r="D57">
        <v>3.85</v>
      </c>
      <c r="E57" t="s">
        <v>15</v>
      </c>
      <c r="F57" t="s">
        <v>105</v>
      </c>
    </row>
    <row r="58" spans="1:7" x14ac:dyDescent="0.25">
      <c r="C58" t="s">
        <v>25</v>
      </c>
      <c r="D58">
        <v>298</v>
      </c>
      <c r="E58" t="s">
        <v>14</v>
      </c>
      <c r="F58" t="s">
        <v>105</v>
      </c>
    </row>
    <row r="59" spans="1:7" x14ac:dyDescent="0.25">
      <c r="C59" t="s">
        <v>26</v>
      </c>
      <c r="D59">
        <v>282</v>
      </c>
      <c r="E59" t="s">
        <v>14</v>
      </c>
      <c r="F59" t="s">
        <v>105</v>
      </c>
    </row>
    <row r="61" spans="1:7" x14ac:dyDescent="0.25">
      <c r="B61" t="s">
        <v>99</v>
      </c>
      <c r="D61" s="57">
        <f>30/60</f>
        <v>0.5</v>
      </c>
      <c r="E61" s="50" t="s">
        <v>101</v>
      </c>
      <c r="F61" s="50" t="s">
        <v>91</v>
      </c>
    </row>
    <row r="62" spans="1:7" x14ac:dyDescent="0.25">
      <c r="B62" t="s">
        <v>100</v>
      </c>
      <c r="D62" s="50">
        <v>6</v>
      </c>
      <c r="E62" s="50" t="s">
        <v>102</v>
      </c>
      <c r="F62" s="50" t="s">
        <v>96</v>
      </c>
    </row>
    <row r="63" spans="1:7" x14ac:dyDescent="0.25">
      <c r="C63" s="7" t="s">
        <v>93</v>
      </c>
      <c r="D63" s="58">
        <f>D62*H7</f>
        <v>1.0843373493975903</v>
      </c>
      <c r="E63" s="7"/>
      <c r="F63" s="7" t="s">
        <v>85</v>
      </c>
    </row>
    <row r="64" spans="1:7" x14ac:dyDescent="0.25">
      <c r="C64" s="7" t="s">
        <v>94</v>
      </c>
      <c r="D64" s="58">
        <f>D62*H9</f>
        <v>2.4578313253012047</v>
      </c>
      <c r="E64" s="7"/>
      <c r="F64" s="7" t="s">
        <v>85</v>
      </c>
    </row>
    <row r="65" spans="2:7" x14ac:dyDescent="0.25">
      <c r="C65" s="7" t="s">
        <v>95</v>
      </c>
      <c r="D65" s="58">
        <f>D62*H9</f>
        <v>2.4578313253012047</v>
      </c>
      <c r="E65" s="7"/>
      <c r="F65" s="7" t="s">
        <v>85</v>
      </c>
    </row>
    <row r="67" spans="2:7" x14ac:dyDescent="0.25">
      <c r="B67" t="s">
        <v>49</v>
      </c>
      <c r="C67" t="s">
        <v>24</v>
      </c>
      <c r="D67">
        <v>866</v>
      </c>
      <c r="E67" t="s">
        <v>51</v>
      </c>
      <c r="G67" t="s">
        <v>221</v>
      </c>
    </row>
    <row r="68" spans="2:7" x14ac:dyDescent="0.25">
      <c r="C68" t="s">
        <v>25</v>
      </c>
      <c r="D68">
        <v>141</v>
      </c>
      <c r="E68" t="s">
        <v>50</v>
      </c>
      <c r="G68" t="s">
        <v>221</v>
      </c>
    </row>
    <row r="69" spans="2:7" x14ac:dyDescent="0.25">
      <c r="C69" t="s">
        <v>26</v>
      </c>
      <c r="D69">
        <v>103</v>
      </c>
      <c r="E69" t="s">
        <v>50</v>
      </c>
      <c r="G69" t="s">
        <v>221</v>
      </c>
    </row>
    <row r="71" spans="2:7" x14ac:dyDescent="0.25">
      <c r="B71" s="7" t="s">
        <v>97</v>
      </c>
      <c r="C71" s="7" t="s">
        <v>24</v>
      </c>
      <c r="D71" s="68">
        <f>D57*D67*D63</f>
        <v>3615.2891566265057</v>
      </c>
      <c r="E71" s="7" t="s">
        <v>98</v>
      </c>
      <c r="F71" s="7" t="s">
        <v>86</v>
      </c>
    </row>
    <row r="72" spans="2:7" x14ac:dyDescent="0.25">
      <c r="B72" s="7"/>
      <c r="C72" s="7" t="s">
        <v>25</v>
      </c>
      <c r="D72" s="68">
        <f>D58*D68*D64</f>
        <v>103273.15662650602</v>
      </c>
      <c r="E72" s="7" t="s">
        <v>98</v>
      </c>
      <c r="F72" s="7" t="s">
        <v>86</v>
      </c>
    </row>
    <row r="73" spans="2:7" x14ac:dyDescent="0.25">
      <c r="B73" s="7"/>
      <c r="C73" s="7" t="s">
        <v>26</v>
      </c>
      <c r="D73" s="68">
        <f>D59*D69*D65</f>
        <v>71390.168674698798</v>
      </c>
      <c r="E73" s="7" t="s">
        <v>98</v>
      </c>
      <c r="F73" s="7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5DBF-DC4B-4A4E-A802-805B70C2471C}">
  <dimension ref="A1:AB210"/>
  <sheetViews>
    <sheetView zoomScale="85" zoomScaleNormal="85" workbookViewId="0">
      <selection activeCell="G4" sqref="G4"/>
    </sheetView>
  </sheetViews>
  <sheetFormatPr defaultRowHeight="15" x14ac:dyDescent="0.25"/>
  <cols>
    <col min="1" max="1" width="22.28515625" bestFit="1" customWidth="1"/>
    <col min="2" max="2" width="9.85546875" bestFit="1" customWidth="1"/>
    <col min="8" max="11" width="9.42578125" bestFit="1" customWidth="1"/>
    <col min="26" max="26" width="9.7109375" bestFit="1" customWidth="1"/>
    <col min="27" max="28" width="9.28515625" bestFit="1" customWidth="1"/>
  </cols>
  <sheetData>
    <row r="1" spans="1:28" x14ac:dyDescent="0.25">
      <c r="A1" s="104" t="s">
        <v>122</v>
      </c>
      <c r="B1" s="104">
        <v>9</v>
      </c>
      <c r="C1" s="104">
        <v>18</v>
      </c>
      <c r="D1" s="104">
        <v>27</v>
      </c>
      <c r="E1" s="104">
        <v>36</v>
      </c>
      <c r="F1" s="104">
        <v>45</v>
      </c>
      <c r="G1" s="104">
        <v>54</v>
      </c>
      <c r="H1" s="104">
        <v>63</v>
      </c>
      <c r="I1" s="104">
        <v>72</v>
      </c>
      <c r="J1" s="104">
        <v>81</v>
      </c>
      <c r="K1" s="104">
        <v>90</v>
      </c>
      <c r="L1" s="104">
        <v>99</v>
      </c>
      <c r="M1" s="104">
        <v>108</v>
      </c>
      <c r="N1" s="104">
        <v>117</v>
      </c>
      <c r="O1" s="104">
        <v>126</v>
      </c>
      <c r="P1" s="104">
        <v>135</v>
      </c>
      <c r="T1" s="8" t="s">
        <v>208</v>
      </c>
      <c r="U1" s="8"/>
      <c r="Z1" s="8" t="s">
        <v>202</v>
      </c>
      <c r="AA1" s="8"/>
    </row>
    <row r="2" spans="1:28" x14ac:dyDescent="0.25">
      <c r="A2" s="104">
        <v>0</v>
      </c>
      <c r="B2" s="136">
        <v>2.5540998732300202</v>
      </c>
      <c r="C2" s="136">
        <v>4.5532412282695294</v>
      </c>
      <c r="D2" s="136">
        <v>5.825829979963971</v>
      </c>
      <c r="E2" s="136">
        <v>6.8445588587452626</v>
      </c>
      <c r="F2" s="136">
        <v>7.7178948093058679</v>
      </c>
      <c r="G2" s="136">
        <v>8.4937503581097111</v>
      </c>
      <c r="H2" s="136">
        <v>9.1983945309772537</v>
      </c>
      <c r="I2" s="136">
        <v>9.8480863871211</v>
      </c>
      <c r="J2" s="136">
        <v>10.453718589412283</v>
      </c>
      <c r="K2" s="136">
        <v>11.023010480645382</v>
      </c>
      <c r="L2" s="136">
        <v>11.561667860598746</v>
      </c>
      <c r="M2" s="136">
        <v>12.074048838970143</v>
      </c>
      <c r="N2" s="136">
        <v>12.563570870812995</v>
      </c>
      <c r="O2" s="136">
        <v>13.032972241319101</v>
      </c>
      <c r="P2" s="136">
        <v>13.484486961785677</v>
      </c>
      <c r="T2" t="s">
        <v>201</v>
      </c>
      <c r="U2" t="s">
        <v>202</v>
      </c>
      <c r="V2" t="s">
        <v>203</v>
      </c>
      <c r="W2" t="s">
        <v>204</v>
      </c>
      <c r="Z2" t="s">
        <v>201</v>
      </c>
      <c r="AB2" t="s">
        <v>207</v>
      </c>
    </row>
    <row r="3" spans="1:28" x14ac:dyDescent="0.25">
      <c r="A3" s="104">
        <v>1</v>
      </c>
      <c r="B3" s="136">
        <v>4.569759838581362</v>
      </c>
      <c r="C3" s="136">
        <v>8.146595643499758</v>
      </c>
      <c r="D3" s="136">
        <v>10.423493673007592</v>
      </c>
      <c r="E3" s="136">
        <v>12.246189161720196</v>
      </c>
      <c r="F3" s="136">
        <v>13.808749652909604</v>
      </c>
      <c r="G3" s="136">
        <v>15.196899570078095</v>
      </c>
      <c r="H3" s="136">
        <v>16.457639087514551</v>
      </c>
      <c r="I3" s="136">
        <v>17.62005868698968</v>
      </c>
      <c r="J3" s="136">
        <v>18.703647368853453</v>
      </c>
      <c r="K3" s="136">
        <v>19.722216473473893</v>
      </c>
      <c r="L3" s="136">
        <v>20.685974738162827</v>
      </c>
      <c r="M3" s="136">
        <v>21.602719631953335</v>
      </c>
      <c r="N3" s="136">
        <v>22.478565617720193</v>
      </c>
      <c r="O3" s="136">
        <v>23.318411997102885</v>
      </c>
      <c r="P3" s="136">
        <v>24.126255831927921</v>
      </c>
      <c r="S3">
        <v>0</v>
      </c>
      <c r="T3">
        <v>0</v>
      </c>
      <c r="U3">
        <v>0</v>
      </c>
      <c r="V3">
        <v>0</v>
      </c>
      <c r="W3">
        <v>0</v>
      </c>
      <c r="Z3" s="64">
        <v>0</v>
      </c>
      <c r="AA3" s="132"/>
      <c r="AB3" s="132">
        <v>0</v>
      </c>
    </row>
    <row r="4" spans="1:28" x14ac:dyDescent="0.25">
      <c r="A4" s="104">
        <v>2</v>
      </c>
      <c r="B4" s="136">
        <v>2.3642348421267267</v>
      </c>
      <c r="C4" s="136">
        <v>4.2147653149009159</v>
      </c>
      <c r="D4" s="136">
        <v>5.3927531837345759</v>
      </c>
      <c r="E4" s="136">
        <v>6.3357524513589549</v>
      </c>
      <c r="F4" s="136">
        <v>7.1441669166030408</v>
      </c>
      <c r="G4" s="136">
        <v>7.8623474154022865</v>
      </c>
      <c r="H4" s="136">
        <v>8.5146102036573836</v>
      </c>
      <c r="I4" s="136">
        <v>9.1160056851107925</v>
      </c>
      <c r="J4" s="136">
        <v>9.6766167908777589</v>
      </c>
      <c r="K4" s="136">
        <v>10.203589028220776</v>
      </c>
      <c r="L4" s="136">
        <v>10.702204042849729</v>
      </c>
      <c r="M4" s="136">
        <v>11.176495974111106</v>
      </c>
      <c r="N4" s="136">
        <v>11.629628232485885</v>
      </c>
      <c r="O4" s="136">
        <v>12.064135546285314</v>
      </c>
      <c r="P4" s="136">
        <v>12.482085856313773</v>
      </c>
      <c r="S4">
        <v>9</v>
      </c>
      <c r="T4">
        <v>1</v>
      </c>
      <c r="U4">
        <v>0</v>
      </c>
      <c r="V4">
        <v>1.0609808855881486E-2</v>
      </c>
      <c r="W4">
        <v>6.9975338992603296E-3</v>
      </c>
      <c r="Z4" s="64">
        <v>1</v>
      </c>
      <c r="AA4" s="132"/>
      <c r="AB4" s="132">
        <v>7.7590972482809287E-2</v>
      </c>
    </row>
    <row r="5" spans="1:28" x14ac:dyDescent="0.25">
      <c r="A5" s="104">
        <v>3</v>
      </c>
      <c r="B5" s="136">
        <v>1.6079507005144258</v>
      </c>
      <c r="C5" s="136">
        <v>2.8665235448871558</v>
      </c>
      <c r="D5" s="136">
        <v>3.6676903262652347</v>
      </c>
      <c r="E5" s="136">
        <v>4.3090379225121627</v>
      </c>
      <c r="F5" s="136">
        <v>4.8588524259334562</v>
      </c>
      <c r="G5" s="136">
        <v>5.3472974888195282</v>
      </c>
      <c r="H5" s="136">
        <v>5.7909109525103162</v>
      </c>
      <c r="I5" s="136">
        <v>6.1999288167506421</v>
      </c>
      <c r="J5" s="136">
        <v>6.5812086304866</v>
      </c>
      <c r="K5" s="136">
        <v>6.9396101577330001</v>
      </c>
      <c r="L5" s="136">
        <v>7.2787255229978314</v>
      </c>
      <c r="M5" s="136">
        <v>7.6012984034626143</v>
      </c>
      <c r="N5" s="136">
        <v>7.9094802808703832</v>
      </c>
      <c r="O5" s="136">
        <v>8.2049950610239222</v>
      </c>
      <c r="P5" s="136">
        <v>8.4892491807144665</v>
      </c>
      <c r="S5">
        <v>18</v>
      </c>
      <c r="T5">
        <v>2</v>
      </c>
      <c r="U5">
        <v>0</v>
      </c>
      <c r="V5">
        <v>2.9524111938934051E-2</v>
      </c>
      <c r="W5">
        <v>1.9472167401368628E-2</v>
      </c>
      <c r="Z5" s="64">
        <v>2</v>
      </c>
      <c r="AA5" s="132"/>
      <c r="AB5" s="132">
        <v>0.20837998508614841</v>
      </c>
    </row>
    <row r="6" spans="1:28" x14ac:dyDescent="0.25">
      <c r="A6" s="104">
        <v>4</v>
      </c>
      <c r="B6" s="136">
        <v>1.2231728988325166</v>
      </c>
      <c r="C6" s="136">
        <v>2.1805730193404189</v>
      </c>
      <c r="D6" s="136">
        <v>2.7900229820246141</v>
      </c>
      <c r="E6" s="136">
        <v>3.2778980133981799</v>
      </c>
      <c r="F6" s="136">
        <v>3.6961435477636471</v>
      </c>
      <c r="G6" s="136">
        <v>4.0677051654796941</v>
      </c>
      <c r="H6" s="136">
        <v>4.4051632518315955</v>
      </c>
      <c r="I6" s="136">
        <v>4.7163043623874401</v>
      </c>
      <c r="J6" s="136">
        <v>5.006345055105534</v>
      </c>
      <c r="K6" s="136">
        <v>5.2789821669819865</v>
      </c>
      <c r="L6" s="136">
        <v>5.5369482378552632</v>
      </c>
      <c r="M6" s="136">
        <v>5.7823303911492943</v>
      </c>
      <c r="N6" s="136">
        <v>6.0167652654497843</v>
      </c>
      <c r="O6" s="136">
        <v>6.2415642410481169</v>
      </c>
      <c r="P6" s="136">
        <v>6.4577971986106562</v>
      </c>
      <c r="S6">
        <v>27</v>
      </c>
      <c r="T6">
        <v>3</v>
      </c>
      <c r="U6">
        <v>0</v>
      </c>
      <c r="V6">
        <v>5.3724787551557178E-2</v>
      </c>
      <c r="W6">
        <v>3.5433345428667176E-2</v>
      </c>
      <c r="Z6" s="64">
        <v>3</v>
      </c>
      <c r="AA6" s="132"/>
      <c r="AB6" s="132">
        <v>0.37139078702354444</v>
      </c>
    </row>
    <row r="7" spans="1:28" x14ac:dyDescent="0.25">
      <c r="A7" s="104">
        <v>5</v>
      </c>
      <c r="B7" s="136">
        <v>0.9893526919053095</v>
      </c>
      <c r="C7" s="136">
        <v>1.7637373985637408</v>
      </c>
      <c r="D7" s="136">
        <v>2.2566856659253762</v>
      </c>
      <c r="E7" s="136">
        <v>2.6512991143295466</v>
      </c>
      <c r="F7" s="136">
        <v>2.9895933535959687</v>
      </c>
      <c r="G7" s="136">
        <v>3.290127715538528</v>
      </c>
      <c r="H7" s="136">
        <v>3.563077734670026</v>
      </c>
      <c r="I7" s="136">
        <v>3.814741498300382</v>
      </c>
      <c r="J7" s="136">
        <v>4.0493383736698476</v>
      </c>
      <c r="K7" s="136">
        <v>4.2698585150216601</v>
      </c>
      <c r="L7" s="136">
        <v>4.4785121132842747</v>
      </c>
      <c r="M7" s="136">
        <v>4.6769873199690153</v>
      </c>
      <c r="N7" s="136">
        <v>4.8666079158692881</v>
      </c>
      <c r="O7" s="136">
        <v>5.0484345994542963</v>
      </c>
      <c r="P7" s="136">
        <v>5.223332734335564</v>
      </c>
      <c r="S7">
        <v>36</v>
      </c>
      <c r="T7">
        <v>4</v>
      </c>
      <c r="U7">
        <v>0</v>
      </c>
      <c r="V7">
        <v>8.2157294030749797E-2</v>
      </c>
      <c r="W7">
        <v>5.4185561480024062E-2</v>
      </c>
      <c r="Z7" s="64">
        <v>4</v>
      </c>
      <c r="AA7" s="132"/>
      <c r="AB7" s="132">
        <v>0.55962977128716707</v>
      </c>
    </row>
    <row r="8" spans="1:28" x14ac:dyDescent="0.25">
      <c r="A8" s="104">
        <v>6</v>
      </c>
      <c r="B8" s="136">
        <v>0.83189778125373892</v>
      </c>
      <c r="C8" s="136">
        <v>1.4830396082046009</v>
      </c>
      <c r="D8" s="136">
        <v>1.8975354429521429</v>
      </c>
      <c r="E8" s="136">
        <v>2.2293463884988869</v>
      </c>
      <c r="F8" s="136">
        <v>2.5138012945796309</v>
      </c>
      <c r="G8" s="136">
        <v>2.7665057860477287</v>
      </c>
      <c r="H8" s="136">
        <v>2.9960159669634656</v>
      </c>
      <c r="I8" s="136">
        <v>3.2076275876716167</v>
      </c>
      <c r="J8" s="136">
        <v>3.4048885055482145</v>
      </c>
      <c r="K8" s="136">
        <v>3.590312993512196</v>
      </c>
      <c r="L8" s="136">
        <v>3.7657594918797308</v>
      </c>
      <c r="M8" s="136">
        <v>3.9326474838221657</v>
      </c>
      <c r="N8" s="136">
        <v>4.0920900711826462</v>
      </c>
      <c r="O8" s="136">
        <v>4.2449791428804104</v>
      </c>
      <c r="P8" s="136">
        <v>4.3920423404070235</v>
      </c>
      <c r="S8">
        <v>45</v>
      </c>
      <c r="T8">
        <v>5</v>
      </c>
      <c r="U8">
        <v>0</v>
      </c>
      <c r="V8">
        <v>0.11421766471350601</v>
      </c>
      <c r="W8">
        <v>7.533047876579356E-2</v>
      </c>
      <c r="Z8" s="64">
        <v>5</v>
      </c>
      <c r="AA8" s="132"/>
      <c r="AB8" s="132">
        <v>0.76917008950649401</v>
      </c>
    </row>
    <row r="9" spans="1:28" x14ac:dyDescent="0.25">
      <c r="A9" s="104">
        <v>7</v>
      </c>
      <c r="B9" s="136">
        <v>0.7184898552769301</v>
      </c>
      <c r="C9" s="136">
        <v>1.2808651945951919</v>
      </c>
      <c r="D9" s="136">
        <v>1.6388551532555291</v>
      </c>
      <c r="E9" s="136">
        <v>1.9254321866572623</v>
      </c>
      <c r="F9" s="136">
        <v>2.1711089619874633</v>
      </c>
      <c r="G9" s="136">
        <v>2.3893636774034723</v>
      </c>
      <c r="H9" s="136">
        <v>2.5875860316237347</v>
      </c>
      <c r="I9" s="136">
        <v>2.7703498352588127</v>
      </c>
      <c r="J9" s="136">
        <v>2.9407192863268889</v>
      </c>
      <c r="K9" s="136">
        <v>3.1008659011204323</v>
      </c>
      <c r="L9" s="136">
        <v>3.2523947692837218</v>
      </c>
      <c r="M9" s="136">
        <v>3.3965318638645741</v>
      </c>
      <c r="N9" s="136">
        <v>3.5342385438186561</v>
      </c>
      <c r="O9" s="136">
        <v>3.6662851118861859</v>
      </c>
      <c r="P9" s="136">
        <v>3.7933000143039024</v>
      </c>
      <c r="S9">
        <v>54</v>
      </c>
      <c r="T9">
        <v>6</v>
      </c>
      <c r="U9">
        <v>0</v>
      </c>
      <c r="V9">
        <v>0.1495009630346297</v>
      </c>
      <c r="W9">
        <v>9.8601027692121535E-2</v>
      </c>
      <c r="Z9" s="64">
        <v>6</v>
      </c>
      <c r="AA9" s="132"/>
      <c r="AB9" s="132">
        <v>0.99741508818239577</v>
      </c>
    </row>
    <row r="10" spans="1:28" x14ac:dyDescent="0.25">
      <c r="A10" s="104">
        <v>8</v>
      </c>
      <c r="B10" s="136">
        <v>0.63282712604492919</v>
      </c>
      <c r="C10" s="136">
        <v>1.1281526579581764</v>
      </c>
      <c r="D10" s="136">
        <v>1.443460877034765</v>
      </c>
      <c r="E10" s="136">
        <v>1.6958704540192588</v>
      </c>
      <c r="F10" s="136">
        <v>1.9122561503883091</v>
      </c>
      <c r="G10" s="136">
        <v>2.1044892115624743</v>
      </c>
      <c r="H10" s="136">
        <v>2.279078291446865</v>
      </c>
      <c r="I10" s="136">
        <v>2.4400518831405833</v>
      </c>
      <c r="J10" s="136">
        <v>2.590108852342615</v>
      </c>
      <c r="K10" s="136">
        <v>2.7311618139694112</v>
      </c>
      <c r="L10" s="136">
        <v>2.8646244891183308</v>
      </c>
      <c r="M10" s="136">
        <v>2.9915766828760439</v>
      </c>
      <c r="N10" s="136">
        <v>3.1128651351381009</v>
      </c>
      <c r="O10" s="136">
        <v>3.22916830846831</v>
      </c>
      <c r="P10" s="136">
        <v>3.3410397219218808</v>
      </c>
      <c r="S10">
        <v>63</v>
      </c>
      <c r="T10">
        <v>7</v>
      </c>
      <c r="U10">
        <v>0</v>
      </c>
      <c r="V10">
        <v>0.18771137476423597</v>
      </c>
      <c r="W10">
        <v>0.12380210859890854</v>
      </c>
      <c r="Z10" s="64">
        <v>7</v>
      </c>
      <c r="AA10" s="132"/>
      <c r="AB10" s="132">
        <v>1.2424881265635048</v>
      </c>
    </row>
    <row r="11" spans="1:28" x14ac:dyDescent="0.25">
      <c r="A11" s="104">
        <v>9</v>
      </c>
      <c r="B11" s="136">
        <v>0.56578585015694671</v>
      </c>
      <c r="C11" s="136">
        <v>1.0086369316671311</v>
      </c>
      <c r="D11" s="136">
        <v>1.2905416121865536</v>
      </c>
      <c r="E11" s="136">
        <v>1.5162110900334755</v>
      </c>
      <c r="F11" s="136">
        <v>1.7096730327082819</v>
      </c>
      <c r="G11" s="136">
        <v>1.8815410539551678</v>
      </c>
      <c r="H11" s="136">
        <v>2.0376342853055212</v>
      </c>
      <c r="I11" s="136">
        <v>2.1815544440358572</v>
      </c>
      <c r="J11" s="136">
        <v>2.3157144798461999</v>
      </c>
      <c r="K11" s="136">
        <v>2.4418243865278981</v>
      </c>
      <c r="L11" s="136">
        <v>2.5611481165255121</v>
      </c>
      <c r="M11" s="136">
        <v>2.6746510811082871</v>
      </c>
      <c r="N11" s="136">
        <v>2.7830903171223902</v>
      </c>
      <c r="O11" s="136">
        <v>2.8870724112684378</v>
      </c>
      <c r="P11" s="136">
        <v>2.9870922431689415</v>
      </c>
      <c r="S11">
        <v>72</v>
      </c>
      <c r="T11">
        <v>8</v>
      </c>
      <c r="U11">
        <v>0</v>
      </c>
      <c r="V11">
        <v>0.22862062630083532</v>
      </c>
      <c r="W11">
        <v>0.15078316719376086</v>
      </c>
      <c r="Z11" s="64">
        <v>8</v>
      </c>
      <c r="AA11" s="132"/>
      <c r="AB11" s="132">
        <v>1.502953754322661</v>
      </c>
    </row>
    <row r="12" spans="1:28" x14ac:dyDescent="0.25">
      <c r="A12" s="104">
        <v>10</v>
      </c>
      <c r="B12" s="136">
        <v>0.51185668130877937</v>
      </c>
      <c r="C12" s="136">
        <v>0.91249640185486169</v>
      </c>
      <c r="D12" s="136">
        <v>1.1675306947345019</v>
      </c>
      <c r="E12" s="136">
        <v>1.3716899715551736</v>
      </c>
      <c r="F12" s="136">
        <v>1.5467116478830736</v>
      </c>
      <c r="G12" s="136">
        <v>1.7021976766590416</v>
      </c>
      <c r="H12" s="136">
        <v>1.843412525619283</v>
      </c>
      <c r="I12" s="136">
        <v>1.9736146061426965</v>
      </c>
      <c r="J12" s="136">
        <v>2.0949868721247835</v>
      </c>
      <c r="K12" s="136">
        <v>2.2090763253982217</v>
      </c>
      <c r="L12" s="136">
        <v>2.3170264418972817</v>
      </c>
      <c r="M12" s="136">
        <v>2.4197106125140131</v>
      </c>
      <c r="N12" s="136">
        <v>2.5178137154007985</v>
      </c>
      <c r="O12" s="136">
        <v>2.611884519063306</v>
      </c>
      <c r="P12" s="136">
        <v>2.7023707325439901</v>
      </c>
      <c r="S12">
        <v>81</v>
      </c>
      <c r="T12">
        <v>9</v>
      </c>
      <c r="U12">
        <v>0</v>
      </c>
      <c r="V12">
        <v>0.27204569249708216</v>
      </c>
      <c r="W12">
        <v>0.17942349209626027</v>
      </c>
      <c r="Z12" s="64">
        <v>9</v>
      </c>
      <c r="AA12" s="132"/>
      <c r="AB12" s="132">
        <v>1.7776696472843811</v>
      </c>
    </row>
    <row r="13" spans="1:28" x14ac:dyDescent="0.25">
      <c r="A13" s="104">
        <v>11</v>
      </c>
      <c r="B13" s="136">
        <v>0.46751385733041634</v>
      </c>
      <c r="C13" s="136">
        <v>0.83344562689012003</v>
      </c>
      <c r="D13" s="136">
        <v>1.0663859603264809</v>
      </c>
      <c r="E13" s="136">
        <v>1.2528586479002142</v>
      </c>
      <c r="F13" s="136">
        <v>1.4127179640026659</v>
      </c>
      <c r="G13" s="136">
        <v>1.5547340316413134</v>
      </c>
      <c r="H13" s="136">
        <v>1.683715250721872</v>
      </c>
      <c r="I13" s="136">
        <v>1.8026377521187502</v>
      </c>
      <c r="J13" s="136">
        <v>1.9134953775328238</v>
      </c>
      <c r="K13" s="136">
        <v>2.0177011099737889</v>
      </c>
      <c r="L13" s="136">
        <v>2.1162993645373511</v>
      </c>
      <c r="M13" s="136">
        <v>2.2100878691028392</v>
      </c>
      <c r="N13" s="136">
        <v>2.2996921699188633</v>
      </c>
      <c r="O13" s="136">
        <v>2.3856134949467602</v>
      </c>
      <c r="P13" s="136">
        <v>2.4682607676001282</v>
      </c>
      <c r="S13">
        <v>90</v>
      </c>
      <c r="T13">
        <v>10</v>
      </c>
      <c r="U13">
        <v>0</v>
      </c>
      <c r="V13">
        <v>0.31783561459128884</v>
      </c>
      <c r="W13">
        <v>0.20962352081035721</v>
      </c>
      <c r="Z13" s="64">
        <v>10</v>
      </c>
      <c r="AA13" s="132"/>
      <c r="AB13" s="132">
        <v>2.0656997412371085</v>
      </c>
    </row>
    <row r="14" spans="1:28" x14ac:dyDescent="0.25">
      <c r="A14" s="104">
        <v>12</v>
      </c>
      <c r="B14" s="136">
        <v>0.43039498551385152</v>
      </c>
      <c r="C14" s="136">
        <v>0.76727312546467785</v>
      </c>
      <c r="D14" s="136">
        <v>0.98171885763487476</v>
      </c>
      <c r="E14" s="136">
        <v>1.1533863032274114</v>
      </c>
      <c r="F14" s="136">
        <v>1.3005533806506215</v>
      </c>
      <c r="G14" s="136">
        <v>1.4312938975693985</v>
      </c>
      <c r="H14" s="136">
        <v>1.5500344847141792</v>
      </c>
      <c r="I14" s="136">
        <v>1.6595149791710684</v>
      </c>
      <c r="J14" s="136">
        <v>1.7615709189813593</v>
      </c>
      <c r="K14" s="136">
        <v>1.857503101527751</v>
      </c>
      <c r="L14" s="136">
        <v>1.948273019208683</v>
      </c>
      <c r="M14" s="136">
        <v>2.0346150632591513</v>
      </c>
      <c r="N14" s="136">
        <v>2.1171051138683588</v>
      </c>
      <c r="O14" s="136">
        <v>2.1962046033506049</v>
      </c>
      <c r="P14" s="136">
        <v>2.2722899881122984</v>
      </c>
      <c r="S14">
        <v>99</v>
      </c>
      <c r="T14">
        <v>11</v>
      </c>
      <c r="U14">
        <v>0</v>
      </c>
      <c r="V14">
        <v>0.36586313588825797</v>
      </c>
      <c r="W14">
        <v>0.24129932316816199</v>
      </c>
      <c r="Z14" s="64">
        <v>11</v>
      </c>
      <c r="AA14" s="132"/>
      <c r="AB14" s="132">
        <v>2.3662594859400139</v>
      </c>
    </row>
    <row r="15" spans="1:28" x14ac:dyDescent="0.25">
      <c r="B15" s="103"/>
      <c r="S15">
        <v>108</v>
      </c>
      <c r="T15">
        <v>12</v>
      </c>
      <c r="U15">
        <v>0</v>
      </c>
      <c r="V15">
        <v>0.4160191034135397</v>
      </c>
      <c r="W15">
        <v>0.27437890902835416</v>
      </c>
      <c r="Z15" s="64">
        <v>12</v>
      </c>
      <c r="AA15" s="132"/>
      <c r="AB15" s="132">
        <v>2.6786794204209206</v>
      </c>
    </row>
    <row r="16" spans="1:28" x14ac:dyDescent="0.25">
      <c r="A16" s="110" t="s">
        <v>190</v>
      </c>
      <c r="B16" s="111">
        <v>2</v>
      </c>
      <c r="C16" s="111">
        <v>3</v>
      </c>
      <c r="D16" s="111">
        <v>4</v>
      </c>
      <c r="E16" s="111">
        <v>5</v>
      </c>
      <c r="F16" s="111">
        <v>6</v>
      </c>
      <c r="G16" s="111">
        <v>7</v>
      </c>
      <c r="H16" s="111">
        <v>8</v>
      </c>
      <c r="I16" s="111">
        <v>9</v>
      </c>
      <c r="J16" s="111">
        <v>10</v>
      </c>
      <c r="K16" s="111">
        <v>11</v>
      </c>
      <c r="L16" s="111">
        <v>12</v>
      </c>
      <c r="M16" s="111">
        <v>13</v>
      </c>
      <c r="N16" s="111">
        <v>14</v>
      </c>
      <c r="O16" s="111">
        <v>15</v>
      </c>
      <c r="P16" s="111">
        <v>16</v>
      </c>
      <c r="S16">
        <v>117</v>
      </c>
      <c r="T16">
        <v>13</v>
      </c>
      <c r="U16">
        <v>0</v>
      </c>
      <c r="V16">
        <v>0.46820856040531866</v>
      </c>
      <c r="W16">
        <v>0.30879965114017061</v>
      </c>
      <c r="Z16" s="64">
        <v>13</v>
      </c>
      <c r="AA16" s="132"/>
      <c r="AB16" s="132">
        <v>3.0023798840919413</v>
      </c>
    </row>
    <row r="17" spans="1:28" x14ac:dyDescent="0.25">
      <c r="S17">
        <v>126</v>
      </c>
      <c r="T17">
        <v>14</v>
      </c>
      <c r="U17">
        <v>0</v>
      </c>
      <c r="V17">
        <v>0.52234792502207261</v>
      </c>
      <c r="W17">
        <v>0.34450642440405854</v>
      </c>
      <c r="Z17" s="64">
        <v>14</v>
      </c>
      <c r="AA17" s="132"/>
      <c r="AB17" s="132">
        <v>3.3368528450958954</v>
      </c>
    </row>
    <row r="18" spans="1:28" x14ac:dyDescent="0.25">
      <c r="S18">
        <v>135</v>
      </c>
      <c r="T18">
        <v>15</v>
      </c>
      <c r="U18">
        <v>0</v>
      </c>
      <c r="V18">
        <v>0.57836289557341702</v>
      </c>
      <c r="W18">
        <v>0.38145022429936176</v>
      </c>
      <c r="Z18" s="64">
        <v>15</v>
      </c>
      <c r="AA18" s="132"/>
      <c r="AB18" s="132">
        <v>3.6816484670310974</v>
      </c>
    </row>
    <row r="19" spans="1:28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T19">
        <v>0</v>
      </c>
      <c r="U19">
        <v>1</v>
      </c>
      <c r="V19">
        <v>0</v>
      </c>
      <c r="W19">
        <v>0</v>
      </c>
    </row>
    <row r="20" spans="1:28" ht="15.75" thickBot="1" x14ac:dyDescent="0.3">
      <c r="A20" s="131" t="s">
        <v>205</v>
      </c>
      <c r="B20">
        <v>9</v>
      </c>
      <c r="C20">
        <v>18</v>
      </c>
      <c r="D20">
        <v>27</v>
      </c>
      <c r="E20">
        <v>36</v>
      </c>
      <c r="F20">
        <v>45</v>
      </c>
      <c r="G20">
        <v>54</v>
      </c>
      <c r="H20">
        <v>63</v>
      </c>
      <c r="I20">
        <v>72</v>
      </c>
      <c r="J20">
        <v>81</v>
      </c>
      <c r="K20">
        <v>90</v>
      </c>
      <c r="L20">
        <v>99</v>
      </c>
      <c r="M20">
        <v>108</v>
      </c>
      <c r="N20">
        <v>117</v>
      </c>
      <c r="O20">
        <v>126</v>
      </c>
      <c r="P20">
        <v>135</v>
      </c>
      <c r="T20">
        <v>1</v>
      </c>
      <c r="U20">
        <v>1</v>
      </c>
      <c r="V20">
        <v>3.4009909464691755E-2</v>
      </c>
      <c r="W20">
        <v>1.2519889968716062E-2</v>
      </c>
    </row>
    <row r="21" spans="1:28" x14ac:dyDescent="0.25">
      <c r="A21">
        <v>0</v>
      </c>
      <c r="B21" s="120">
        <f t="shared" ref="B21:P21" si="0">B53*365</f>
        <v>2.5540998732300202</v>
      </c>
      <c r="C21" s="121">
        <f t="shared" si="0"/>
        <v>7.1073411014995491</v>
      </c>
      <c r="D21" s="121">
        <f t="shared" si="0"/>
        <v>12.93317108146352</v>
      </c>
      <c r="E21" s="121">
        <f t="shared" si="0"/>
        <v>19.777729940208783</v>
      </c>
      <c r="F21" s="121">
        <f t="shared" si="0"/>
        <v>27.495624749514651</v>
      </c>
      <c r="G21" s="121">
        <f t="shared" si="0"/>
        <v>35.989375107624362</v>
      </c>
      <c r="H21" s="121">
        <f t="shared" si="0"/>
        <v>45.187769638601615</v>
      </c>
      <c r="I21" s="121">
        <f t="shared" si="0"/>
        <v>55.035856025722715</v>
      </c>
      <c r="J21" s="121">
        <f t="shared" si="0"/>
        <v>65.489574615134998</v>
      </c>
      <c r="K21" s="121">
        <f t="shared" si="0"/>
        <v>76.512585095780381</v>
      </c>
      <c r="L21" s="121">
        <f t="shared" si="0"/>
        <v>88.074252956379127</v>
      </c>
      <c r="M21" s="121">
        <f t="shared" si="0"/>
        <v>100.14830179534927</v>
      </c>
      <c r="N21" s="121">
        <f t="shared" si="0"/>
        <v>112.71187266616226</v>
      </c>
      <c r="O21" s="121">
        <f t="shared" si="0"/>
        <v>125.74484490748137</v>
      </c>
      <c r="P21" s="122">
        <f t="shared" si="0"/>
        <v>139.22933186926704</v>
      </c>
      <c r="T21">
        <v>2</v>
      </c>
      <c r="U21">
        <v>1</v>
      </c>
      <c r="V21">
        <v>9.4640006027247911E-2</v>
      </c>
      <c r="W21">
        <v>3.4839330087893479E-2</v>
      </c>
      <c r="Z21" s="8" t="s">
        <v>209</v>
      </c>
    </row>
    <row r="22" spans="1:28" x14ac:dyDescent="0.25">
      <c r="A22">
        <v>1</v>
      </c>
      <c r="B22" s="123">
        <f t="shared" ref="B22:P22" si="1">B54*365</f>
        <v>4.569759838581362</v>
      </c>
      <c r="C22" s="124">
        <f t="shared" si="1"/>
        <v>12.71635548208112</v>
      </c>
      <c r="D22" s="124">
        <f t="shared" si="1"/>
        <v>23.139849155088712</v>
      </c>
      <c r="E22" s="124">
        <f t="shared" si="1"/>
        <v>35.386038316808907</v>
      </c>
      <c r="F22" s="124">
        <f t="shared" si="1"/>
        <v>49.194787969718512</v>
      </c>
      <c r="G22" s="124">
        <f t="shared" si="1"/>
        <v>64.391687539796607</v>
      </c>
      <c r="H22" s="124">
        <f t="shared" si="1"/>
        <v>80.849326627311157</v>
      </c>
      <c r="I22" s="124">
        <f t="shared" si="1"/>
        <v>98.469385314300837</v>
      </c>
      <c r="J22" s="124">
        <f t="shared" si="1"/>
        <v>117.17303268315429</v>
      </c>
      <c r="K22" s="124">
        <f t="shared" si="1"/>
        <v>136.89524915662818</v>
      </c>
      <c r="L22" s="124">
        <f t="shared" si="1"/>
        <v>157.58122389479101</v>
      </c>
      <c r="M22" s="124">
        <f t="shared" si="1"/>
        <v>179.18394352674434</v>
      </c>
      <c r="N22" s="124">
        <f t="shared" si="1"/>
        <v>201.66250914446454</v>
      </c>
      <c r="O22" s="124">
        <f t="shared" si="1"/>
        <v>224.98092114156742</v>
      </c>
      <c r="P22" s="125">
        <f t="shared" si="1"/>
        <v>249.10717697349534</v>
      </c>
      <c r="T22">
        <v>3</v>
      </c>
      <c r="U22">
        <v>1</v>
      </c>
      <c r="V22">
        <v>0.17221565302992001</v>
      </c>
      <c r="W22">
        <v>6.3396847000243048E-2</v>
      </c>
      <c r="Z22" t="s">
        <v>201</v>
      </c>
      <c r="AA22" t="s">
        <v>210</v>
      </c>
      <c r="AB22" t="s">
        <v>211</v>
      </c>
    </row>
    <row r="23" spans="1:28" x14ac:dyDescent="0.25">
      <c r="A23">
        <v>2</v>
      </c>
      <c r="B23" s="123">
        <f t="shared" ref="B23:P23" si="2">B55*365</f>
        <v>2.3642348421267267</v>
      </c>
      <c r="C23" s="124">
        <f t="shared" si="2"/>
        <v>6.5790001570276422</v>
      </c>
      <c r="D23" s="124">
        <f t="shared" si="2"/>
        <v>11.971753340762218</v>
      </c>
      <c r="E23" s="124">
        <f t="shared" si="2"/>
        <v>18.307505792121173</v>
      </c>
      <c r="F23" s="124">
        <f t="shared" si="2"/>
        <v>25.451672708724214</v>
      </c>
      <c r="G23" s="124">
        <f t="shared" si="2"/>
        <v>33.3140201241265</v>
      </c>
      <c r="H23" s="124">
        <f t="shared" si="2"/>
        <v>41.828630327783884</v>
      </c>
      <c r="I23" s="124">
        <f t="shared" si="2"/>
        <v>50.944636012894676</v>
      </c>
      <c r="J23" s="124">
        <f t="shared" si="2"/>
        <v>60.621252803772435</v>
      </c>
      <c r="K23" s="124">
        <f t="shared" si="2"/>
        <v>70.824841831993211</v>
      </c>
      <c r="L23" s="124">
        <f t="shared" si="2"/>
        <v>81.527045874842941</v>
      </c>
      <c r="M23" s="124">
        <f t="shared" si="2"/>
        <v>92.703541848954046</v>
      </c>
      <c r="N23" s="124">
        <f t="shared" si="2"/>
        <v>104.33317008143993</v>
      </c>
      <c r="O23" s="124">
        <f t="shared" si="2"/>
        <v>116.39730562772525</v>
      </c>
      <c r="P23" s="125">
        <f t="shared" si="2"/>
        <v>128.87939148403902</v>
      </c>
      <c r="T23">
        <v>4</v>
      </c>
      <c r="U23">
        <v>1</v>
      </c>
      <c r="V23">
        <v>0.26335650055570353</v>
      </c>
      <c r="W23">
        <v>9.6948050183038106E-2</v>
      </c>
      <c r="Z23" s="64">
        <v>0</v>
      </c>
      <c r="AA23" s="132">
        <f>AB3</f>
        <v>0</v>
      </c>
      <c r="AB23">
        <v>0</v>
      </c>
    </row>
    <row r="24" spans="1:28" x14ac:dyDescent="0.25">
      <c r="A24">
        <v>3</v>
      </c>
      <c r="B24" s="123">
        <f t="shared" ref="B24:P24" si="3">B56*365</f>
        <v>1.6079507005144258</v>
      </c>
      <c r="C24" s="124">
        <f t="shared" si="3"/>
        <v>4.4744742454015816</v>
      </c>
      <c r="D24" s="124">
        <f t="shared" si="3"/>
        <v>8.1421645716668163</v>
      </c>
      <c r="E24" s="124">
        <f t="shared" si="3"/>
        <v>12.451202494178979</v>
      </c>
      <c r="F24" s="124">
        <f t="shared" si="3"/>
        <v>17.310054920112435</v>
      </c>
      <c r="G24" s="124">
        <f t="shared" si="3"/>
        <v>22.657352408931963</v>
      </c>
      <c r="H24" s="124">
        <f t="shared" si="3"/>
        <v>28.44826336144228</v>
      </c>
      <c r="I24" s="124">
        <f t="shared" si="3"/>
        <v>34.648192178192922</v>
      </c>
      <c r="J24" s="124">
        <f t="shared" si="3"/>
        <v>41.229400808679522</v>
      </c>
      <c r="K24" s="124">
        <f t="shared" si="3"/>
        <v>48.169010966412522</v>
      </c>
      <c r="L24" s="124">
        <f t="shared" si="3"/>
        <v>55.447736489410353</v>
      </c>
      <c r="M24" s="124">
        <f t="shared" si="3"/>
        <v>63.049034892872967</v>
      </c>
      <c r="N24" s="124">
        <f t="shared" si="3"/>
        <v>70.958515173743351</v>
      </c>
      <c r="O24" s="124">
        <f t="shared" si="3"/>
        <v>79.163510234767273</v>
      </c>
      <c r="P24" s="125">
        <f t="shared" si="3"/>
        <v>87.652759415481739</v>
      </c>
      <c r="T24">
        <v>5</v>
      </c>
      <c r="U24">
        <v>1</v>
      </c>
      <c r="V24">
        <v>0.36612652394972128</v>
      </c>
      <c r="W24">
        <v>0.13478024101292743</v>
      </c>
      <c r="Z24" s="64">
        <v>1</v>
      </c>
      <c r="AA24" s="132">
        <f>AB4-AB3</f>
        <v>7.7590972482809287E-2</v>
      </c>
      <c r="AB24">
        <v>1</v>
      </c>
    </row>
    <row r="25" spans="1:28" x14ac:dyDescent="0.25">
      <c r="A25">
        <v>4</v>
      </c>
      <c r="B25" s="123">
        <f t="shared" ref="B25:P25" si="4">B57*365</f>
        <v>1.2231728988325166</v>
      </c>
      <c r="C25" s="124">
        <f t="shared" si="4"/>
        <v>3.4037459181729357</v>
      </c>
      <c r="D25" s="124">
        <f t="shared" si="4"/>
        <v>6.1937689001975498</v>
      </c>
      <c r="E25" s="124">
        <f t="shared" si="4"/>
        <v>9.4716669135957297</v>
      </c>
      <c r="F25" s="124">
        <f t="shared" si="4"/>
        <v>13.167810461359377</v>
      </c>
      <c r="G25" s="124">
        <f t="shared" si="4"/>
        <v>17.235515626839071</v>
      </c>
      <c r="H25" s="124">
        <f t="shared" si="4"/>
        <v>21.640678878670666</v>
      </c>
      <c r="I25" s="124">
        <f t="shared" si="4"/>
        <v>26.356983241058106</v>
      </c>
      <c r="J25" s="124">
        <f t="shared" si="4"/>
        <v>31.36332829616364</v>
      </c>
      <c r="K25" s="124">
        <f t="shared" si="4"/>
        <v>36.642310463145627</v>
      </c>
      <c r="L25" s="124">
        <f t="shared" si="4"/>
        <v>42.17925870100089</v>
      </c>
      <c r="M25" s="124">
        <f t="shared" si="4"/>
        <v>47.961589092150184</v>
      </c>
      <c r="N25" s="124">
        <f t="shared" si="4"/>
        <v>53.978354357599969</v>
      </c>
      <c r="O25" s="124">
        <f t="shared" si="4"/>
        <v>60.219918598648086</v>
      </c>
      <c r="P25" s="125">
        <f t="shared" si="4"/>
        <v>66.677715797258742</v>
      </c>
      <c r="T25">
        <v>6</v>
      </c>
      <c r="U25">
        <v>1</v>
      </c>
      <c r="V25">
        <v>0.47922769267171234</v>
      </c>
      <c r="W25">
        <v>0.17641558230081264</v>
      </c>
      <c r="Z25" s="64">
        <v>2</v>
      </c>
      <c r="AA25" s="132">
        <f>AB5-AB4</f>
        <v>0.13078901260333914</v>
      </c>
      <c r="AB25">
        <v>0</v>
      </c>
    </row>
    <row r="26" spans="1:28" x14ac:dyDescent="0.25">
      <c r="A26">
        <v>5</v>
      </c>
      <c r="B26" s="123">
        <f t="shared" ref="B26:P26" si="5">B58*365</f>
        <v>0.9893526919053095</v>
      </c>
      <c r="C26" s="124">
        <f t="shared" si="5"/>
        <v>2.7530900904690503</v>
      </c>
      <c r="D26" s="124">
        <f t="shared" si="5"/>
        <v>5.0097757563944265</v>
      </c>
      <c r="E26" s="124">
        <f t="shared" si="5"/>
        <v>7.6610748707239731</v>
      </c>
      <c r="F26" s="124">
        <f t="shared" si="5"/>
        <v>10.650668224319942</v>
      </c>
      <c r="G26" s="124">
        <f t="shared" si="5"/>
        <v>13.94079593985847</v>
      </c>
      <c r="H26" s="124">
        <f t="shared" si="5"/>
        <v>17.503873674528496</v>
      </c>
      <c r="I26" s="124">
        <f t="shared" si="5"/>
        <v>21.318615172828878</v>
      </c>
      <c r="J26" s="124">
        <f t="shared" si="5"/>
        <v>25.367953546498725</v>
      </c>
      <c r="K26" s="124">
        <f t="shared" si="5"/>
        <v>29.637812061520385</v>
      </c>
      <c r="L26" s="124">
        <f t="shared" si="5"/>
        <v>34.11632417480466</v>
      </c>
      <c r="M26" s="124">
        <f t="shared" si="5"/>
        <v>38.793311494773675</v>
      </c>
      <c r="N26" s="124">
        <f t="shared" si="5"/>
        <v>43.659919410642964</v>
      </c>
      <c r="O26" s="124">
        <f t="shared" si="5"/>
        <v>48.70835401009726</v>
      </c>
      <c r="P26" s="125">
        <f t="shared" si="5"/>
        <v>53.931686744432824</v>
      </c>
      <c r="T26">
        <v>7</v>
      </c>
      <c r="U26">
        <v>1</v>
      </c>
      <c r="V26">
        <v>0.60171176954668049</v>
      </c>
      <c r="W26">
        <v>0.22150500445838672</v>
      </c>
      <c r="Z26" s="64">
        <v>3</v>
      </c>
      <c r="AA26" s="132">
        <f t="shared" ref="AA26:AA38" si="6">AB6-AB5</f>
        <v>0.16301080193739603</v>
      </c>
      <c r="AB26">
        <v>1</v>
      </c>
    </row>
    <row r="27" spans="1:28" x14ac:dyDescent="0.25">
      <c r="A27">
        <v>6</v>
      </c>
      <c r="B27" s="123">
        <f t="shared" ref="B27:P27" si="7">B59*365</f>
        <v>0.83189778125373892</v>
      </c>
      <c r="C27" s="124">
        <f t="shared" si="7"/>
        <v>2.3149373894583398</v>
      </c>
      <c r="D27" s="124">
        <f t="shared" si="7"/>
        <v>4.2124728324104828</v>
      </c>
      <c r="E27" s="124">
        <f t="shared" si="7"/>
        <v>6.4418192209093696</v>
      </c>
      <c r="F27" s="124">
        <f t="shared" si="7"/>
        <v>8.9556205154890005</v>
      </c>
      <c r="G27" s="124">
        <f t="shared" si="7"/>
        <v>11.722126301536729</v>
      </c>
      <c r="H27" s="124">
        <f t="shared" si="7"/>
        <v>14.718142268500195</v>
      </c>
      <c r="I27" s="124">
        <f t="shared" si="7"/>
        <v>17.925769856171812</v>
      </c>
      <c r="J27" s="124">
        <f>J59*365</f>
        <v>21.330658361720026</v>
      </c>
      <c r="K27" s="124">
        <f t="shared" si="7"/>
        <v>24.920971355232222</v>
      </c>
      <c r="L27" s="124">
        <f t="shared" si="7"/>
        <v>28.686730847111953</v>
      </c>
      <c r="M27" s="124">
        <f t="shared" si="7"/>
        <v>32.619378330934119</v>
      </c>
      <c r="N27" s="124">
        <f t="shared" si="7"/>
        <v>36.711468402116765</v>
      </c>
      <c r="O27" s="124">
        <f t="shared" si="7"/>
        <v>40.956447544997175</v>
      </c>
      <c r="P27" s="125">
        <f t="shared" si="7"/>
        <v>45.348489885404199</v>
      </c>
      <c r="T27">
        <v>8</v>
      </c>
      <c r="U27">
        <v>1</v>
      </c>
      <c r="V27">
        <v>0.73284701994817814</v>
      </c>
      <c r="W27">
        <v>0.26977913784739954</v>
      </c>
      <c r="Z27" s="64">
        <v>4</v>
      </c>
      <c r="AA27" s="132">
        <f t="shared" si="6"/>
        <v>0.18823898426362262</v>
      </c>
    </row>
    <row r="28" spans="1:28" x14ac:dyDescent="0.25">
      <c r="A28">
        <v>7</v>
      </c>
      <c r="B28" s="123">
        <f t="shared" ref="B28:P28" si="8">B60*365</f>
        <v>0.7184898552769301</v>
      </c>
      <c r="C28" s="124">
        <f t="shared" si="8"/>
        <v>1.999355049872122</v>
      </c>
      <c r="D28" s="124">
        <f t="shared" si="8"/>
        <v>3.6382102031276511</v>
      </c>
      <c r="E28" s="124">
        <f t="shared" si="8"/>
        <v>5.5636423897849134</v>
      </c>
      <c r="F28" s="124">
        <f t="shared" si="8"/>
        <v>7.7347513517723767</v>
      </c>
      <c r="G28" s="124">
        <f t="shared" si="8"/>
        <v>10.124115029175849</v>
      </c>
      <c r="H28" s="124">
        <f t="shared" si="8"/>
        <v>12.711701060799584</v>
      </c>
      <c r="I28" s="124">
        <f t="shared" si="8"/>
        <v>15.482050896058396</v>
      </c>
      <c r="J28" s="124">
        <f t="shared" si="8"/>
        <v>18.422770182385285</v>
      </c>
      <c r="K28" s="124">
        <f t="shared" si="8"/>
        <v>21.523636083505718</v>
      </c>
      <c r="L28" s="124">
        <f t="shared" si="8"/>
        <v>24.77603085278944</v>
      </c>
      <c r="M28" s="124">
        <f t="shared" si="8"/>
        <v>28.172562716654014</v>
      </c>
      <c r="N28" s="124">
        <f t="shared" si="8"/>
        <v>31.70680126047267</v>
      </c>
      <c r="O28" s="124">
        <f t="shared" si="8"/>
        <v>35.373086372358856</v>
      </c>
      <c r="P28" s="125">
        <f t="shared" si="8"/>
        <v>39.166386386662758</v>
      </c>
      <c r="T28">
        <v>9</v>
      </c>
      <c r="U28">
        <v>1</v>
      </c>
      <c r="V28">
        <v>0.87204675388248931</v>
      </c>
      <c r="W28">
        <v>0.32102200735110764</v>
      </c>
      <c r="Z28" s="64">
        <v>5</v>
      </c>
      <c r="AA28" s="132">
        <f t="shared" si="6"/>
        <v>0.20954031821932695</v>
      </c>
    </row>
    <row r="29" spans="1:28" x14ac:dyDescent="0.25">
      <c r="A29">
        <v>8</v>
      </c>
      <c r="B29" s="123">
        <f t="shared" ref="B29:P29" si="9">B61*365</f>
        <v>0.63282712604492919</v>
      </c>
      <c r="C29" s="124">
        <f t="shared" si="9"/>
        <v>1.7609797840031056</v>
      </c>
      <c r="D29" s="124">
        <f t="shared" si="9"/>
        <v>3.2044406610378706</v>
      </c>
      <c r="E29" s="124">
        <f t="shared" si="9"/>
        <v>4.9003111150571295</v>
      </c>
      <c r="F29" s="124">
        <f t="shared" si="9"/>
        <v>6.8125672654454386</v>
      </c>
      <c r="G29" s="124">
        <f t="shared" si="9"/>
        <v>8.9170564770079128</v>
      </c>
      <c r="H29" s="124">
        <f t="shared" si="9"/>
        <v>11.196134768454778</v>
      </c>
      <c r="I29" s="124">
        <f t="shared" si="9"/>
        <v>13.636186651595361</v>
      </c>
      <c r="J29" s="124">
        <f t="shared" si="9"/>
        <v>16.226295503937976</v>
      </c>
      <c r="K29" s="124">
        <f t="shared" si="9"/>
        <v>18.957457317907387</v>
      </c>
      <c r="L29" s="124">
        <f t="shared" si="9"/>
        <v>21.822081807025718</v>
      </c>
      <c r="M29" s="124">
        <f t="shared" si="9"/>
        <v>24.813658489901762</v>
      </c>
      <c r="N29" s="124">
        <f t="shared" si="9"/>
        <v>27.926523625039863</v>
      </c>
      <c r="O29" s="124">
        <f t="shared" si="9"/>
        <v>31.155691933508173</v>
      </c>
      <c r="P29" s="125">
        <f t="shared" si="9"/>
        <v>34.496731655430054</v>
      </c>
      <c r="T29">
        <v>10</v>
      </c>
      <c r="U29">
        <v>1</v>
      </c>
      <c r="V29">
        <v>1.0188270706603897</v>
      </c>
      <c r="W29">
        <v>0.3750554771414471</v>
      </c>
      <c r="Z29" s="64">
        <v>6</v>
      </c>
      <c r="AA29" s="132">
        <f t="shared" si="6"/>
        <v>0.22824499867590176</v>
      </c>
    </row>
    <row r="30" spans="1:28" x14ac:dyDescent="0.25">
      <c r="A30">
        <v>9</v>
      </c>
      <c r="B30" s="123">
        <f t="shared" ref="B30:P30" si="10">B62*365</f>
        <v>0.56578585015694671</v>
      </c>
      <c r="C30" s="124">
        <f t="shared" si="10"/>
        <v>1.5744227818240777</v>
      </c>
      <c r="D30" s="124">
        <f t="shared" si="10"/>
        <v>2.8649643940106313</v>
      </c>
      <c r="E30" s="124">
        <f t="shared" si="10"/>
        <v>4.3811754840441068</v>
      </c>
      <c r="F30" s="124">
        <f t="shared" si="10"/>
        <v>6.0908485167523887</v>
      </c>
      <c r="G30" s="124">
        <f t="shared" si="10"/>
        <v>7.9723895707075565</v>
      </c>
      <c r="H30" s="124">
        <f t="shared" si="10"/>
        <v>10.010023856013078</v>
      </c>
      <c r="I30" s="124">
        <f t="shared" si="10"/>
        <v>12.191578300048935</v>
      </c>
      <c r="J30" s="124">
        <f t="shared" si="10"/>
        <v>14.507292779895135</v>
      </c>
      <c r="K30" s="124">
        <f t="shared" si="10"/>
        <v>16.949117166423033</v>
      </c>
      <c r="L30" s="124">
        <f t="shared" si="10"/>
        <v>19.510265282948545</v>
      </c>
      <c r="M30" s="124">
        <f t="shared" si="10"/>
        <v>22.184916364056832</v>
      </c>
      <c r="N30" s="124">
        <f t="shared" si="10"/>
        <v>24.968006681179222</v>
      </c>
      <c r="O30" s="124">
        <f t="shared" si="10"/>
        <v>27.85507909244766</v>
      </c>
      <c r="P30" s="125">
        <f t="shared" si="10"/>
        <v>30.842171335616602</v>
      </c>
      <c r="T30">
        <v>11</v>
      </c>
      <c r="U30">
        <v>1</v>
      </c>
      <c r="V30">
        <v>1.1727800469402596</v>
      </c>
      <c r="W30">
        <v>0.43172938053367399</v>
      </c>
      <c r="Z30" s="64">
        <v>7</v>
      </c>
      <c r="AA30" s="132">
        <f t="shared" si="6"/>
        <v>0.24507303838110905</v>
      </c>
    </row>
    <row r="31" spans="1:28" x14ac:dyDescent="0.25">
      <c r="A31">
        <v>10</v>
      </c>
      <c r="B31" s="123">
        <f t="shared" ref="B31:P31" si="11">B63*365</f>
        <v>0.51185668130877937</v>
      </c>
      <c r="C31" s="124">
        <f t="shared" si="11"/>
        <v>1.4243530831636411</v>
      </c>
      <c r="D31" s="124">
        <f t="shared" si="11"/>
        <v>2.5918837778981429</v>
      </c>
      <c r="E31" s="124">
        <f t="shared" si="11"/>
        <v>3.9635737494533165</v>
      </c>
      <c r="F31" s="124">
        <f t="shared" si="11"/>
        <v>5.5102853973363901</v>
      </c>
      <c r="G31" s="124">
        <f t="shared" si="11"/>
        <v>7.2124830739954318</v>
      </c>
      <c r="H31" s="124">
        <f t="shared" si="11"/>
        <v>9.0558955996147148</v>
      </c>
      <c r="I31" s="124">
        <f t="shared" si="11"/>
        <v>11.029510205757411</v>
      </c>
      <c r="J31" s="124">
        <f t="shared" si="11"/>
        <v>13.124497077882195</v>
      </c>
      <c r="K31" s="124">
        <f t="shared" si="11"/>
        <v>15.333573403280417</v>
      </c>
      <c r="L31" s="124">
        <f t="shared" si="11"/>
        <v>17.650599845177698</v>
      </c>
      <c r="M31" s="124">
        <f t="shared" si="11"/>
        <v>20.070310457691711</v>
      </c>
      <c r="N31" s="124">
        <f t="shared" si="11"/>
        <v>22.58812417309251</v>
      </c>
      <c r="O31" s="124">
        <f t="shared" si="11"/>
        <v>25.200008692155816</v>
      </c>
      <c r="P31" s="125">
        <f t="shared" si="11"/>
        <v>27.902379424699806</v>
      </c>
      <c r="T31">
        <v>12</v>
      </c>
      <c r="U31">
        <v>1</v>
      </c>
      <c r="V31">
        <v>1.3335557911425928</v>
      </c>
      <c r="W31">
        <v>0.49091491377190233</v>
      </c>
      <c r="Z31" s="64">
        <v>8</v>
      </c>
      <c r="AA31" s="132">
        <f t="shared" si="6"/>
        <v>0.26046562775915616</v>
      </c>
    </row>
    <row r="32" spans="1:28" x14ac:dyDescent="0.25">
      <c r="A32">
        <v>11</v>
      </c>
      <c r="B32" s="123">
        <f t="shared" ref="B32:P32" si="12">B64*365</f>
        <v>0.46751385733041634</v>
      </c>
      <c r="C32" s="124">
        <f t="shared" si="12"/>
        <v>1.3009594842205363</v>
      </c>
      <c r="D32" s="124">
        <f t="shared" si="12"/>
        <v>2.3673454445470172</v>
      </c>
      <c r="E32" s="124">
        <f t="shared" si="12"/>
        <v>3.6202040924472314</v>
      </c>
      <c r="F32" s="124">
        <f t="shared" si="12"/>
        <v>5.0329220564498973</v>
      </c>
      <c r="G32" s="124">
        <f t="shared" si="12"/>
        <v>6.5876560880912107</v>
      </c>
      <c r="H32" s="124">
        <f t="shared" si="12"/>
        <v>8.2713713388130827</v>
      </c>
      <c r="I32" s="124">
        <f t="shared" si="12"/>
        <v>10.074009090931833</v>
      </c>
      <c r="J32" s="124">
        <f t="shared" si="12"/>
        <v>11.987504468464657</v>
      </c>
      <c r="K32" s="124">
        <f t="shared" si="12"/>
        <v>14.005205578438446</v>
      </c>
      <c r="L32" s="124">
        <f t="shared" si="12"/>
        <v>16.121504942975797</v>
      </c>
      <c r="M32" s="124">
        <f t="shared" si="12"/>
        <v>18.331592812078636</v>
      </c>
      <c r="N32" s="124">
        <f t="shared" si="12"/>
        <v>20.631284981997499</v>
      </c>
      <c r="O32" s="124">
        <f t="shared" si="12"/>
        <v>23.016898476944259</v>
      </c>
      <c r="P32" s="125">
        <f t="shared" si="12"/>
        <v>25.485159244544388</v>
      </c>
      <c r="T32">
        <v>13</v>
      </c>
      <c r="U32">
        <v>1</v>
      </c>
      <c r="V32">
        <v>1.5008499178711709</v>
      </c>
      <c r="W32">
        <v>0.55250002505332751</v>
      </c>
      <c r="Z32" s="64">
        <v>9</v>
      </c>
      <c r="AA32" s="132">
        <f t="shared" si="6"/>
        <v>0.27471589296172017</v>
      </c>
    </row>
    <row r="33" spans="1:27" ht="15.75" thickBot="1" x14ac:dyDescent="0.3">
      <c r="A33">
        <v>12</v>
      </c>
      <c r="B33" s="126">
        <f t="shared" ref="B33:P33" si="13">B65*365</f>
        <v>0.43039498551385152</v>
      </c>
      <c r="C33" s="127">
        <f t="shared" si="13"/>
        <v>1.1976681109785294</v>
      </c>
      <c r="D33" s="127">
        <f t="shared" si="13"/>
        <v>2.1793869686134042</v>
      </c>
      <c r="E33" s="127">
        <f t="shared" si="13"/>
        <v>3.3327732718408156</v>
      </c>
      <c r="F33" s="127">
        <f t="shared" si="13"/>
        <v>4.6333266524914372</v>
      </c>
      <c r="G33" s="127">
        <f t="shared" si="13"/>
        <v>6.0646205500608357</v>
      </c>
      <c r="H33" s="127">
        <f t="shared" si="13"/>
        <v>7.6146550347750148</v>
      </c>
      <c r="I33" s="127">
        <f t="shared" si="13"/>
        <v>9.2741700139460832</v>
      </c>
      <c r="J33" s="127">
        <f t="shared" si="13"/>
        <v>11.035740932927443</v>
      </c>
      <c r="K33" s="127">
        <f t="shared" si="13"/>
        <v>12.893244034455194</v>
      </c>
      <c r="L33" s="127">
        <f t="shared" si="13"/>
        <v>14.841517053663877</v>
      </c>
      <c r="M33" s="127">
        <f t="shared" si="13"/>
        <v>16.876132116923028</v>
      </c>
      <c r="N33" s="127">
        <f t="shared" si="13"/>
        <v>18.993237230791387</v>
      </c>
      <c r="O33" s="127">
        <f t="shared" si="13"/>
        <v>21.189441834141991</v>
      </c>
      <c r="P33" s="128">
        <f t="shared" si="13"/>
        <v>23.46173182225429</v>
      </c>
      <c r="T33">
        <v>14</v>
      </c>
      <c r="U33">
        <v>1</v>
      </c>
      <c r="V33">
        <v>1.6743945042160076</v>
      </c>
      <c r="W33">
        <v>0.61638608531936279</v>
      </c>
      <c r="Z33" s="64">
        <v>10</v>
      </c>
      <c r="AA33" s="132">
        <f t="shared" si="6"/>
        <v>0.28803009395272738</v>
      </c>
    </row>
    <row r="34" spans="1:27" x14ac:dyDescent="0.25">
      <c r="T34">
        <v>15</v>
      </c>
      <c r="U34">
        <v>1</v>
      </c>
      <c r="V34">
        <v>1.8539513749378147</v>
      </c>
      <c r="W34">
        <v>0.68248541636574067</v>
      </c>
      <c r="Z34" s="64">
        <v>11</v>
      </c>
      <c r="AA34" s="132">
        <f t="shared" si="6"/>
        <v>0.30055974470290536</v>
      </c>
    </row>
    <row r="35" spans="1:27" x14ac:dyDescent="0.25">
      <c r="T35">
        <v>0</v>
      </c>
      <c r="U35">
        <v>2</v>
      </c>
      <c r="V35">
        <v>0</v>
      </c>
      <c r="W35">
        <v>0</v>
      </c>
      <c r="Z35" s="64">
        <v>12</v>
      </c>
      <c r="AA35" s="132">
        <f t="shared" si="6"/>
        <v>0.31241993448090666</v>
      </c>
    </row>
    <row r="36" spans="1:27" x14ac:dyDescent="0.25">
      <c r="A36" s="131" t="s">
        <v>206</v>
      </c>
      <c r="T36">
        <v>1</v>
      </c>
      <c r="U36">
        <v>2</v>
      </c>
      <c r="V36">
        <v>1.7595544574386522E-2</v>
      </c>
      <c r="W36">
        <v>6.4773557318540459E-3</v>
      </c>
      <c r="Z36" s="64">
        <v>13</v>
      </c>
      <c r="AA36" s="132">
        <f t="shared" si="6"/>
        <v>0.32370046367102079</v>
      </c>
    </row>
    <row r="37" spans="1:27" ht="15.75" thickBot="1" x14ac:dyDescent="0.3"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>
        <v>12</v>
      </c>
      <c r="N37">
        <v>13</v>
      </c>
      <c r="O37">
        <v>14</v>
      </c>
      <c r="P37">
        <v>15</v>
      </c>
      <c r="T37">
        <v>2</v>
      </c>
      <c r="U37">
        <v>2</v>
      </c>
      <c r="V37">
        <v>4.8963448323832294E-2</v>
      </c>
      <c r="W37">
        <v>1.8024657964459293E-2</v>
      </c>
      <c r="Z37" s="64">
        <v>14</v>
      </c>
      <c r="AA37" s="132">
        <f t="shared" si="6"/>
        <v>0.33447296100395407</v>
      </c>
    </row>
    <row r="38" spans="1:27" x14ac:dyDescent="0.25">
      <c r="A38">
        <v>0</v>
      </c>
      <c r="B38" s="120">
        <f>B21</f>
        <v>2.5540998732300202</v>
      </c>
      <c r="C38" s="121">
        <f>C21-B21</f>
        <v>4.5532412282695294</v>
      </c>
      <c r="D38" s="121">
        <f t="shared" ref="D38:P38" si="14">D21-C21</f>
        <v>5.825829979963971</v>
      </c>
      <c r="E38" s="121">
        <f t="shared" si="14"/>
        <v>6.8445588587452626</v>
      </c>
      <c r="F38" s="121">
        <f t="shared" si="14"/>
        <v>7.7178948093058679</v>
      </c>
      <c r="G38" s="121">
        <f t="shared" si="14"/>
        <v>8.4937503581097111</v>
      </c>
      <c r="H38" s="121">
        <f t="shared" si="14"/>
        <v>9.1983945309772537</v>
      </c>
      <c r="I38" s="121">
        <f t="shared" si="14"/>
        <v>9.8480863871211</v>
      </c>
      <c r="J38" s="121">
        <f t="shared" si="14"/>
        <v>10.453718589412283</v>
      </c>
      <c r="K38" s="121">
        <f t="shared" si="14"/>
        <v>11.023010480645382</v>
      </c>
      <c r="L38" s="121">
        <f t="shared" si="14"/>
        <v>11.561667860598746</v>
      </c>
      <c r="M38" s="121">
        <f t="shared" si="14"/>
        <v>12.074048838970143</v>
      </c>
      <c r="N38" s="121">
        <f t="shared" si="14"/>
        <v>12.563570870812995</v>
      </c>
      <c r="O38" s="121">
        <f t="shared" si="14"/>
        <v>13.032972241319101</v>
      </c>
      <c r="P38" s="121">
        <f t="shared" si="14"/>
        <v>13.484486961785677</v>
      </c>
      <c r="T38">
        <v>3</v>
      </c>
      <c r="U38">
        <v>2</v>
      </c>
      <c r="V38">
        <v>8.9098390645260275E-2</v>
      </c>
      <c r="W38">
        <v>3.279932422126635E-2</v>
      </c>
      <c r="Z38" s="64">
        <v>15</v>
      </c>
      <c r="AA38" s="132">
        <f t="shared" si="6"/>
        <v>0.34479562193520197</v>
      </c>
    </row>
    <row r="39" spans="1:27" x14ac:dyDescent="0.25">
      <c r="A39">
        <v>1</v>
      </c>
      <c r="B39" s="123">
        <f>B22</f>
        <v>4.569759838581362</v>
      </c>
      <c r="C39" s="124">
        <f>C22-B22</f>
        <v>8.146595643499758</v>
      </c>
      <c r="D39" s="124">
        <f t="shared" ref="D39:P39" si="15">D22-C22</f>
        <v>10.423493673007592</v>
      </c>
      <c r="E39" s="124">
        <f>E22-D22</f>
        <v>12.246189161720196</v>
      </c>
      <c r="F39" s="124">
        <f t="shared" si="15"/>
        <v>13.808749652909604</v>
      </c>
      <c r="G39" s="124">
        <f t="shared" si="15"/>
        <v>15.196899570078095</v>
      </c>
      <c r="H39" s="124">
        <f t="shared" si="15"/>
        <v>16.457639087514551</v>
      </c>
      <c r="I39" s="124">
        <f t="shared" si="15"/>
        <v>17.62005868698968</v>
      </c>
      <c r="J39" s="124">
        <f t="shared" si="15"/>
        <v>18.703647368853453</v>
      </c>
      <c r="K39" s="124">
        <f t="shared" si="15"/>
        <v>19.722216473473893</v>
      </c>
      <c r="L39" s="124">
        <f t="shared" si="15"/>
        <v>20.685974738162827</v>
      </c>
      <c r="M39" s="124">
        <f t="shared" si="15"/>
        <v>21.602719631953335</v>
      </c>
      <c r="N39" s="124">
        <f t="shared" si="15"/>
        <v>22.478565617720193</v>
      </c>
      <c r="O39" s="124">
        <f t="shared" si="15"/>
        <v>23.318411997102885</v>
      </c>
      <c r="P39" s="124">
        <f t="shared" si="15"/>
        <v>24.126255831927921</v>
      </c>
      <c r="T39">
        <v>4</v>
      </c>
      <c r="U39">
        <v>2</v>
      </c>
      <c r="V39">
        <v>0.13625149603215297</v>
      </c>
      <c r="W39">
        <v>5.0157550115400476E-2</v>
      </c>
    </row>
    <row r="40" spans="1:27" x14ac:dyDescent="0.25">
      <c r="A40">
        <v>2</v>
      </c>
      <c r="B40" s="123">
        <f>B23</f>
        <v>2.3642348421267267</v>
      </c>
      <c r="C40" s="124">
        <f>C23-B23</f>
        <v>4.2147653149009159</v>
      </c>
      <c r="D40" s="124">
        <f t="shared" ref="D40:P40" si="16">D23-C23</f>
        <v>5.3927531837345759</v>
      </c>
      <c r="E40" s="124">
        <f t="shared" si="16"/>
        <v>6.3357524513589549</v>
      </c>
      <c r="F40" s="124">
        <f t="shared" si="16"/>
        <v>7.1441669166030408</v>
      </c>
      <c r="G40" s="124">
        <f t="shared" si="16"/>
        <v>7.8623474154022865</v>
      </c>
      <c r="H40" s="124">
        <f>H23-G23</f>
        <v>8.5146102036573836</v>
      </c>
      <c r="I40" s="124">
        <f t="shared" si="16"/>
        <v>9.1160056851107925</v>
      </c>
      <c r="J40" s="124">
        <f t="shared" si="16"/>
        <v>9.6766167908777589</v>
      </c>
      <c r="K40" s="124">
        <f t="shared" si="16"/>
        <v>10.203589028220776</v>
      </c>
      <c r="L40" s="124">
        <f t="shared" si="16"/>
        <v>10.702204042849729</v>
      </c>
      <c r="M40" s="124">
        <f t="shared" si="16"/>
        <v>11.176495974111106</v>
      </c>
      <c r="N40" s="124">
        <f t="shared" si="16"/>
        <v>11.629628232485885</v>
      </c>
      <c r="O40" s="124">
        <f t="shared" si="16"/>
        <v>12.064135546285314</v>
      </c>
      <c r="P40" s="124">
        <f t="shared" si="16"/>
        <v>12.482085856313773</v>
      </c>
      <c r="T40">
        <v>5</v>
      </c>
      <c r="U40">
        <v>2</v>
      </c>
      <c r="V40">
        <v>0.18942113264696112</v>
      </c>
      <c r="W40">
        <v>6.9730610160888259E-2</v>
      </c>
    </row>
    <row r="41" spans="1:27" x14ac:dyDescent="0.25">
      <c r="A41">
        <v>3</v>
      </c>
      <c r="B41" s="123">
        <f t="shared" ref="B41:B50" si="17">B24</f>
        <v>1.6079507005144258</v>
      </c>
      <c r="C41" s="124">
        <f t="shared" ref="C41:P41" si="18">C24-B24</f>
        <v>2.8665235448871558</v>
      </c>
      <c r="D41" s="124">
        <f t="shared" si="18"/>
        <v>3.6676903262652347</v>
      </c>
      <c r="E41" s="124">
        <f t="shared" si="18"/>
        <v>4.3090379225121627</v>
      </c>
      <c r="F41" s="124">
        <f t="shared" si="18"/>
        <v>4.8588524259334562</v>
      </c>
      <c r="G41" s="124">
        <f t="shared" si="18"/>
        <v>5.3472974888195282</v>
      </c>
      <c r="H41" s="124">
        <f t="shared" si="18"/>
        <v>5.7909109525103162</v>
      </c>
      <c r="I41" s="124">
        <f t="shared" si="18"/>
        <v>6.1999288167506421</v>
      </c>
      <c r="J41" s="124">
        <f t="shared" si="18"/>
        <v>6.5812086304866</v>
      </c>
      <c r="K41" s="124">
        <f t="shared" si="18"/>
        <v>6.9396101577330001</v>
      </c>
      <c r="L41" s="124">
        <f t="shared" si="18"/>
        <v>7.2787255229978314</v>
      </c>
      <c r="M41" s="124">
        <f t="shared" si="18"/>
        <v>7.6012984034626143</v>
      </c>
      <c r="N41" s="124">
        <f t="shared" si="18"/>
        <v>7.9094802808703832</v>
      </c>
      <c r="O41" s="124">
        <f t="shared" si="18"/>
        <v>8.2049950610239222</v>
      </c>
      <c r="P41" s="124">
        <f t="shared" si="18"/>
        <v>8.4892491807144665</v>
      </c>
      <c r="T41">
        <v>6</v>
      </c>
      <c r="U41">
        <v>2</v>
      </c>
      <c r="V41">
        <v>0.24793574462289281</v>
      </c>
      <c r="W41">
        <v>9.1271288011305476E-2</v>
      </c>
    </row>
    <row r="42" spans="1:27" x14ac:dyDescent="0.25">
      <c r="A42">
        <v>4</v>
      </c>
      <c r="B42" s="123">
        <f t="shared" si="17"/>
        <v>1.2231728988325166</v>
      </c>
      <c r="C42" s="124">
        <f t="shared" ref="C42:P42" si="19">C25-B25</f>
        <v>2.1805730193404189</v>
      </c>
      <c r="D42" s="124">
        <f t="shared" si="19"/>
        <v>2.7900229820246141</v>
      </c>
      <c r="E42" s="124">
        <f t="shared" si="19"/>
        <v>3.2778980133981799</v>
      </c>
      <c r="F42" s="124">
        <f t="shared" si="19"/>
        <v>3.6961435477636471</v>
      </c>
      <c r="G42" s="124">
        <f t="shared" si="19"/>
        <v>4.0677051654796941</v>
      </c>
      <c r="H42" s="124">
        <f t="shared" si="19"/>
        <v>4.4051632518315955</v>
      </c>
      <c r="I42" s="124">
        <f t="shared" si="19"/>
        <v>4.7163043623874401</v>
      </c>
      <c r="J42" s="124">
        <f t="shared" si="19"/>
        <v>5.006345055105534</v>
      </c>
      <c r="K42" s="124">
        <f t="shared" si="19"/>
        <v>5.2789821669819865</v>
      </c>
      <c r="L42" s="124">
        <f t="shared" si="19"/>
        <v>5.5369482378552632</v>
      </c>
      <c r="M42" s="124">
        <f t="shared" si="19"/>
        <v>5.7823303911492943</v>
      </c>
      <c r="N42" s="124">
        <f t="shared" si="19"/>
        <v>6.0167652654497843</v>
      </c>
      <c r="O42" s="124">
        <f t="shared" si="19"/>
        <v>6.2415642410481169</v>
      </c>
      <c r="P42" s="124">
        <f t="shared" si="19"/>
        <v>6.4577971986106562</v>
      </c>
      <c r="T42">
        <v>7</v>
      </c>
      <c r="U42">
        <v>2</v>
      </c>
      <c r="V42">
        <v>0.31130474701743122</v>
      </c>
      <c r="W42">
        <v>0.11459898719940789</v>
      </c>
    </row>
    <row r="43" spans="1:27" x14ac:dyDescent="0.25">
      <c r="A43">
        <v>5</v>
      </c>
      <c r="B43" s="123">
        <f t="shared" si="17"/>
        <v>0.9893526919053095</v>
      </c>
      <c r="C43" s="124">
        <f t="shared" ref="C43:P43" si="20">C26-B26</f>
        <v>1.7637373985637408</v>
      </c>
      <c r="D43" s="124">
        <f t="shared" si="20"/>
        <v>2.2566856659253762</v>
      </c>
      <c r="E43" s="124">
        <f t="shared" si="20"/>
        <v>2.6512991143295466</v>
      </c>
      <c r="F43" s="124">
        <f t="shared" si="20"/>
        <v>2.9895933535959687</v>
      </c>
      <c r="G43" s="124">
        <f t="shared" si="20"/>
        <v>3.290127715538528</v>
      </c>
      <c r="H43" s="124">
        <f t="shared" si="20"/>
        <v>3.563077734670026</v>
      </c>
      <c r="I43" s="124">
        <f t="shared" si="20"/>
        <v>3.814741498300382</v>
      </c>
      <c r="J43" s="124">
        <f t="shared" si="20"/>
        <v>4.0493383736698476</v>
      </c>
      <c r="K43" s="124">
        <f t="shared" si="20"/>
        <v>4.2698585150216601</v>
      </c>
      <c r="L43" s="124">
        <f t="shared" si="20"/>
        <v>4.4785121132842747</v>
      </c>
      <c r="M43" s="124">
        <f t="shared" si="20"/>
        <v>4.6769873199690153</v>
      </c>
      <c r="N43" s="124">
        <f t="shared" si="20"/>
        <v>4.8666079158692881</v>
      </c>
      <c r="O43" s="124">
        <f t="shared" si="20"/>
        <v>5.0484345994542963</v>
      </c>
      <c r="P43" s="124">
        <f t="shared" si="20"/>
        <v>5.223332734335564</v>
      </c>
      <c r="T43">
        <v>8</v>
      </c>
      <c r="U43">
        <v>2</v>
      </c>
      <c r="V43">
        <v>0.37914956577851527</v>
      </c>
      <c r="W43">
        <v>0.13957434524080733</v>
      </c>
    </row>
    <row r="44" spans="1:27" x14ac:dyDescent="0.25">
      <c r="A44">
        <v>6</v>
      </c>
      <c r="B44" s="123">
        <f t="shared" si="17"/>
        <v>0.83189778125373892</v>
      </c>
      <c r="C44" s="124">
        <f t="shared" ref="C44:P44" si="21">C27-B27</f>
        <v>1.4830396082046009</v>
      </c>
      <c r="D44" s="124">
        <f t="shared" si="21"/>
        <v>1.8975354429521429</v>
      </c>
      <c r="E44" s="124">
        <f>E27-D27</f>
        <v>2.2293463884988869</v>
      </c>
      <c r="F44" s="124">
        <f t="shared" si="21"/>
        <v>2.5138012945796309</v>
      </c>
      <c r="G44" s="124">
        <f t="shared" si="21"/>
        <v>2.7665057860477287</v>
      </c>
      <c r="H44" s="124">
        <f t="shared" si="21"/>
        <v>2.9960159669634656</v>
      </c>
      <c r="I44" s="124">
        <f t="shared" si="21"/>
        <v>3.2076275876716167</v>
      </c>
      <c r="J44" s="124">
        <f t="shared" si="21"/>
        <v>3.4048885055482145</v>
      </c>
      <c r="K44" s="124">
        <f t="shared" si="21"/>
        <v>3.590312993512196</v>
      </c>
      <c r="L44" s="124">
        <f t="shared" si="21"/>
        <v>3.7657594918797308</v>
      </c>
      <c r="M44" s="124">
        <f t="shared" si="21"/>
        <v>3.9326474838221657</v>
      </c>
      <c r="N44" s="124">
        <f t="shared" si="21"/>
        <v>4.0920900711826462</v>
      </c>
      <c r="O44" s="124">
        <f t="shared" si="21"/>
        <v>4.2449791428804104</v>
      </c>
      <c r="P44" s="124">
        <f t="shared" si="21"/>
        <v>4.3920423404070235</v>
      </c>
      <c r="T44">
        <v>9</v>
      </c>
      <c r="U44">
        <v>2</v>
      </c>
      <c r="V44">
        <v>0.4511666679036096</v>
      </c>
      <c r="W44">
        <v>0.16608562411992447</v>
      </c>
    </row>
    <row r="45" spans="1:27" x14ac:dyDescent="0.25">
      <c r="A45">
        <v>7</v>
      </c>
      <c r="B45" s="123">
        <f t="shared" si="17"/>
        <v>0.7184898552769301</v>
      </c>
      <c r="C45" s="124">
        <f t="shared" ref="C45:P45" si="22">C28-B28</f>
        <v>1.2808651945951919</v>
      </c>
      <c r="D45" s="124">
        <f t="shared" si="22"/>
        <v>1.6388551532555291</v>
      </c>
      <c r="E45" s="124">
        <f t="shared" si="22"/>
        <v>1.9254321866572623</v>
      </c>
      <c r="F45" s="124">
        <f t="shared" si="22"/>
        <v>2.1711089619874633</v>
      </c>
      <c r="G45" s="124">
        <f t="shared" si="22"/>
        <v>2.3893636774034723</v>
      </c>
      <c r="H45" s="124">
        <f t="shared" si="22"/>
        <v>2.5875860316237347</v>
      </c>
      <c r="I45" s="124">
        <f t="shared" si="22"/>
        <v>2.7703498352588127</v>
      </c>
      <c r="J45" s="124">
        <f t="shared" si="22"/>
        <v>2.9407192863268889</v>
      </c>
      <c r="K45" s="124">
        <f t="shared" si="22"/>
        <v>3.1008659011204323</v>
      </c>
      <c r="L45" s="124">
        <f t="shared" si="22"/>
        <v>3.2523947692837218</v>
      </c>
      <c r="M45" s="124">
        <f t="shared" si="22"/>
        <v>3.3965318638645741</v>
      </c>
      <c r="N45" s="124">
        <f t="shared" si="22"/>
        <v>3.5342385438186561</v>
      </c>
      <c r="O45" s="124">
        <f t="shared" si="22"/>
        <v>3.6662851118861859</v>
      </c>
      <c r="P45" s="124">
        <f t="shared" si="22"/>
        <v>3.7933000143039024</v>
      </c>
      <c r="T45">
        <v>10</v>
      </c>
      <c r="U45">
        <v>2</v>
      </c>
      <c r="V45">
        <v>0.52710570000216295</v>
      </c>
      <c r="W45">
        <v>0.19404066255340605</v>
      </c>
    </row>
    <row r="46" spans="1:27" x14ac:dyDescent="0.25">
      <c r="A46">
        <v>8</v>
      </c>
      <c r="B46" s="123">
        <f t="shared" si="17"/>
        <v>0.63282712604492919</v>
      </c>
      <c r="C46" s="124">
        <f t="shared" ref="C46:P46" si="23">C29-B29</f>
        <v>1.1281526579581764</v>
      </c>
      <c r="D46" s="124">
        <f t="shared" si="23"/>
        <v>1.443460877034765</v>
      </c>
      <c r="E46" s="124">
        <f t="shared" si="23"/>
        <v>1.6958704540192588</v>
      </c>
      <c r="F46" s="124">
        <f t="shared" si="23"/>
        <v>1.9122561503883091</v>
      </c>
      <c r="G46" s="124">
        <f t="shared" si="23"/>
        <v>2.1044892115624743</v>
      </c>
      <c r="H46" s="124">
        <f t="shared" si="23"/>
        <v>2.279078291446865</v>
      </c>
      <c r="I46" s="124">
        <f t="shared" si="23"/>
        <v>2.4400518831405833</v>
      </c>
      <c r="J46" s="124">
        <f t="shared" si="23"/>
        <v>2.590108852342615</v>
      </c>
      <c r="K46" s="124">
        <f t="shared" si="23"/>
        <v>2.7311618139694112</v>
      </c>
      <c r="L46" s="124">
        <f t="shared" si="23"/>
        <v>2.8646244891183308</v>
      </c>
      <c r="M46" s="124">
        <f t="shared" si="23"/>
        <v>2.9915766828760439</v>
      </c>
      <c r="N46" s="124">
        <f t="shared" si="23"/>
        <v>3.1128651351381009</v>
      </c>
      <c r="O46" s="124">
        <f t="shared" si="23"/>
        <v>3.22916830846831</v>
      </c>
      <c r="P46" s="124">
        <f t="shared" si="23"/>
        <v>3.3410397219218808</v>
      </c>
      <c r="T46">
        <v>11</v>
      </c>
      <c r="U46">
        <v>2</v>
      </c>
      <c r="V46">
        <v>0.60675561672141265</v>
      </c>
      <c r="W46">
        <v>0.22336176952011766</v>
      </c>
    </row>
    <row r="47" spans="1:27" x14ac:dyDescent="0.25">
      <c r="A47">
        <v>9</v>
      </c>
      <c r="B47" s="123">
        <f t="shared" si="17"/>
        <v>0.56578585015694671</v>
      </c>
      <c r="C47" s="124">
        <f t="shared" ref="C47:P47" si="24">C30-B30</f>
        <v>1.0086369316671311</v>
      </c>
      <c r="D47" s="124">
        <f t="shared" si="24"/>
        <v>1.2905416121865536</v>
      </c>
      <c r="E47" s="124">
        <f t="shared" si="24"/>
        <v>1.5162110900334755</v>
      </c>
      <c r="F47" s="124">
        <f t="shared" si="24"/>
        <v>1.7096730327082819</v>
      </c>
      <c r="G47" s="124">
        <f t="shared" si="24"/>
        <v>1.8815410539551678</v>
      </c>
      <c r="H47" s="124">
        <f t="shared" si="24"/>
        <v>2.0376342853055212</v>
      </c>
      <c r="I47" s="124">
        <f t="shared" si="24"/>
        <v>2.1815544440358572</v>
      </c>
      <c r="J47" s="124">
        <f t="shared" si="24"/>
        <v>2.3157144798461999</v>
      </c>
      <c r="K47" s="124">
        <f t="shared" si="24"/>
        <v>2.4418243865278981</v>
      </c>
      <c r="L47" s="124">
        <f t="shared" si="24"/>
        <v>2.5611481165255121</v>
      </c>
      <c r="M47" s="124">
        <f t="shared" si="24"/>
        <v>2.6746510811082871</v>
      </c>
      <c r="N47" s="124">
        <f t="shared" si="24"/>
        <v>2.7830903171223902</v>
      </c>
      <c r="O47" s="124">
        <f t="shared" si="24"/>
        <v>2.8870724112684378</v>
      </c>
      <c r="P47" s="124">
        <f t="shared" si="24"/>
        <v>2.9870922431689415</v>
      </c>
      <c r="T47">
        <v>12</v>
      </c>
      <c r="U47">
        <v>2</v>
      </c>
      <c r="V47">
        <v>0.68993539632445011</v>
      </c>
      <c r="W47">
        <v>0.25398230643549052</v>
      </c>
    </row>
    <row r="48" spans="1:27" x14ac:dyDescent="0.25">
      <c r="A48">
        <v>10</v>
      </c>
      <c r="B48" s="123">
        <f t="shared" si="17"/>
        <v>0.51185668130877937</v>
      </c>
      <c r="C48" s="124">
        <f t="shared" ref="C48:P48" si="25">C31-B31</f>
        <v>0.91249640185486169</v>
      </c>
      <c r="D48" s="124">
        <f t="shared" si="25"/>
        <v>1.1675306947345019</v>
      </c>
      <c r="E48" s="124">
        <f t="shared" si="25"/>
        <v>1.3716899715551736</v>
      </c>
      <c r="F48" s="124">
        <f t="shared" si="25"/>
        <v>1.5467116478830736</v>
      </c>
      <c r="G48" s="124">
        <f t="shared" si="25"/>
        <v>1.7021976766590416</v>
      </c>
      <c r="H48" s="124">
        <f t="shared" si="25"/>
        <v>1.843412525619283</v>
      </c>
      <c r="I48" s="124">
        <f t="shared" si="25"/>
        <v>1.9736146061426965</v>
      </c>
      <c r="J48" s="124">
        <f t="shared" si="25"/>
        <v>2.0949868721247835</v>
      </c>
      <c r="K48" s="124">
        <f t="shared" si="25"/>
        <v>2.2090763253982217</v>
      </c>
      <c r="L48" s="124">
        <f t="shared" si="25"/>
        <v>2.3170264418972817</v>
      </c>
      <c r="M48" s="124">
        <f t="shared" si="25"/>
        <v>2.4197106125140131</v>
      </c>
      <c r="N48" s="124">
        <f t="shared" si="25"/>
        <v>2.5178137154007985</v>
      </c>
      <c r="O48" s="124">
        <f t="shared" si="25"/>
        <v>2.611884519063306</v>
      </c>
      <c r="P48" s="124">
        <f t="shared" si="25"/>
        <v>2.7023707325439901</v>
      </c>
      <c r="T48">
        <v>13</v>
      </c>
      <c r="U48">
        <v>2</v>
      </c>
      <c r="V48">
        <v>0.7764875603912722</v>
      </c>
      <c r="W48">
        <v>0.28584430159298613</v>
      </c>
    </row>
    <row r="49" spans="1:23" x14ac:dyDescent="0.25">
      <c r="A49">
        <v>11</v>
      </c>
      <c r="B49" s="123">
        <f t="shared" si="17"/>
        <v>0.46751385733041634</v>
      </c>
      <c r="C49" s="124">
        <f t="shared" ref="C49:P50" si="26">C32-B32</f>
        <v>0.83344562689012003</v>
      </c>
      <c r="D49" s="124">
        <f t="shared" si="26"/>
        <v>1.0663859603264809</v>
      </c>
      <c r="E49" s="124">
        <f t="shared" si="26"/>
        <v>1.2528586479002142</v>
      </c>
      <c r="F49" s="124">
        <f t="shared" si="26"/>
        <v>1.4127179640026659</v>
      </c>
      <c r="G49" s="124">
        <f t="shared" si="26"/>
        <v>1.5547340316413134</v>
      </c>
      <c r="H49" s="124">
        <f t="shared" si="26"/>
        <v>1.683715250721872</v>
      </c>
      <c r="I49" s="124">
        <f t="shared" si="26"/>
        <v>1.8026377521187502</v>
      </c>
      <c r="J49" s="124">
        <f t="shared" si="26"/>
        <v>1.9134953775328238</v>
      </c>
      <c r="K49" s="124">
        <f t="shared" si="26"/>
        <v>2.0177011099737889</v>
      </c>
      <c r="L49" s="124">
        <f t="shared" si="26"/>
        <v>2.1162993645373511</v>
      </c>
      <c r="M49" s="124">
        <f t="shared" si="26"/>
        <v>2.2100878691028392</v>
      </c>
      <c r="N49" s="124">
        <f t="shared" si="26"/>
        <v>2.2996921699188633</v>
      </c>
      <c r="O49" s="124">
        <f t="shared" si="26"/>
        <v>2.3856134949467602</v>
      </c>
      <c r="P49" s="124">
        <f t="shared" si="26"/>
        <v>2.4682607676001282</v>
      </c>
      <c r="T49">
        <v>14</v>
      </c>
      <c r="U49">
        <v>2</v>
      </c>
      <c r="V49">
        <v>0.86627349492438899</v>
      </c>
      <c r="W49">
        <v>0.31889672774719247</v>
      </c>
    </row>
    <row r="50" spans="1:23" x14ac:dyDescent="0.25">
      <c r="A50">
        <v>12</v>
      </c>
      <c r="B50" s="123">
        <f t="shared" si="17"/>
        <v>0.43039498551385152</v>
      </c>
      <c r="C50" s="124">
        <f t="shared" si="26"/>
        <v>0.76727312546467785</v>
      </c>
      <c r="D50" s="124">
        <f t="shared" si="26"/>
        <v>0.98171885763487476</v>
      </c>
      <c r="E50" s="124">
        <f t="shared" si="26"/>
        <v>1.1533863032274114</v>
      </c>
      <c r="F50" s="124">
        <f t="shared" si="26"/>
        <v>1.3005533806506215</v>
      </c>
      <c r="G50" s="124">
        <f t="shared" si="26"/>
        <v>1.4312938975693985</v>
      </c>
      <c r="H50" s="124">
        <f t="shared" si="26"/>
        <v>1.5500344847141792</v>
      </c>
      <c r="I50" s="124">
        <f t="shared" si="26"/>
        <v>1.6595149791710684</v>
      </c>
      <c r="J50" s="124">
        <f t="shared" si="26"/>
        <v>1.7615709189813593</v>
      </c>
      <c r="K50" s="124">
        <f t="shared" si="26"/>
        <v>1.857503101527751</v>
      </c>
      <c r="L50" s="124">
        <f t="shared" si="26"/>
        <v>1.948273019208683</v>
      </c>
      <c r="M50" s="124">
        <f t="shared" si="26"/>
        <v>2.0346150632591513</v>
      </c>
      <c r="N50" s="124">
        <f t="shared" si="26"/>
        <v>2.1171051138683588</v>
      </c>
      <c r="O50" s="124">
        <f t="shared" si="26"/>
        <v>2.1962046033506049</v>
      </c>
      <c r="P50" s="124">
        <f t="shared" si="26"/>
        <v>2.2722899881122984</v>
      </c>
      <c r="T50">
        <v>15</v>
      </c>
      <c r="U50">
        <v>2</v>
      </c>
      <c r="V50">
        <v>0.95916997633675294</v>
      </c>
      <c r="W50">
        <v>0.35309422324394252</v>
      </c>
    </row>
    <row r="51" spans="1:23" x14ac:dyDescent="0.25">
      <c r="T51">
        <v>0</v>
      </c>
      <c r="U51">
        <v>3</v>
      </c>
      <c r="V51">
        <v>0</v>
      </c>
      <c r="W51">
        <v>0</v>
      </c>
    </row>
    <row r="52" spans="1:23" x14ac:dyDescent="0.25">
      <c r="A52" s="104" t="s">
        <v>122</v>
      </c>
      <c r="B52" s="104">
        <v>9</v>
      </c>
      <c r="C52" s="104">
        <v>18</v>
      </c>
      <c r="D52" s="104">
        <v>27</v>
      </c>
      <c r="E52" s="104">
        <v>36</v>
      </c>
      <c r="F52" s="104">
        <v>45</v>
      </c>
      <c r="G52" s="104">
        <v>54</v>
      </c>
      <c r="H52" s="104">
        <v>63</v>
      </c>
      <c r="I52" s="104">
        <v>72</v>
      </c>
      <c r="J52" s="104">
        <v>81</v>
      </c>
      <c r="K52" s="104">
        <v>90</v>
      </c>
      <c r="L52" s="104">
        <v>99</v>
      </c>
      <c r="M52" s="104">
        <v>108</v>
      </c>
      <c r="N52" s="104">
        <v>117</v>
      </c>
      <c r="O52" s="104">
        <v>126</v>
      </c>
      <c r="P52" s="104">
        <v>135</v>
      </c>
      <c r="T52">
        <v>1</v>
      </c>
      <c r="U52">
        <v>3</v>
      </c>
      <c r="V52">
        <v>1.1966987255321514E-2</v>
      </c>
      <c r="W52">
        <v>4.4053443849710293E-3</v>
      </c>
    </row>
    <row r="53" spans="1:23" x14ac:dyDescent="0.25">
      <c r="A53" s="104">
        <v>0</v>
      </c>
      <c r="B53" s="119">
        <f t="shared" ref="B53:P53" si="27">VLOOKUP(B52/9,$T$4:$W$18,4)</f>
        <v>6.9975338992603296E-3</v>
      </c>
      <c r="C53" s="119">
        <f t="shared" si="27"/>
        <v>1.9472167401368628E-2</v>
      </c>
      <c r="D53" s="119">
        <f t="shared" si="27"/>
        <v>3.5433345428667176E-2</v>
      </c>
      <c r="E53" s="119">
        <f t="shared" si="27"/>
        <v>5.4185561480024062E-2</v>
      </c>
      <c r="F53" s="119">
        <f t="shared" si="27"/>
        <v>7.533047876579356E-2</v>
      </c>
      <c r="G53" s="119">
        <f t="shared" si="27"/>
        <v>9.8601027692121535E-2</v>
      </c>
      <c r="H53" s="119">
        <f t="shared" si="27"/>
        <v>0.12380210859890854</v>
      </c>
      <c r="I53" s="119">
        <f t="shared" si="27"/>
        <v>0.15078316719376086</v>
      </c>
      <c r="J53" s="119">
        <f t="shared" si="27"/>
        <v>0.17942349209626027</v>
      </c>
      <c r="K53" s="119">
        <f t="shared" si="27"/>
        <v>0.20962352081035721</v>
      </c>
      <c r="L53" s="119">
        <f t="shared" si="27"/>
        <v>0.24129932316816199</v>
      </c>
      <c r="M53" s="119">
        <f t="shared" si="27"/>
        <v>0.27437890902835416</v>
      </c>
      <c r="N53" s="119">
        <f t="shared" si="27"/>
        <v>0.30879965114017061</v>
      </c>
      <c r="O53" s="119">
        <f t="shared" si="27"/>
        <v>0.34450642440405854</v>
      </c>
      <c r="P53" s="119">
        <f t="shared" si="27"/>
        <v>0.38145022429936176</v>
      </c>
      <c r="T53">
        <v>2</v>
      </c>
      <c r="U53">
        <v>3</v>
      </c>
      <c r="V53">
        <v>3.330075744974912E-2</v>
      </c>
      <c r="W53">
        <v>1.2258833549045429E-2</v>
      </c>
    </row>
    <row r="54" spans="1:23" x14ac:dyDescent="0.25">
      <c r="A54" s="104">
        <v>1</v>
      </c>
      <c r="B54" s="119">
        <f t="shared" ref="B54:P54" si="28">VLOOKUP(B$52/9,$T$20:$W$34,4)</f>
        <v>1.2519889968716062E-2</v>
      </c>
      <c r="C54" s="119">
        <f t="shared" si="28"/>
        <v>3.4839330087893479E-2</v>
      </c>
      <c r="D54" s="119">
        <f t="shared" si="28"/>
        <v>6.3396847000243048E-2</v>
      </c>
      <c r="E54" s="119">
        <f t="shared" si="28"/>
        <v>9.6948050183038106E-2</v>
      </c>
      <c r="F54" s="119">
        <f t="shared" si="28"/>
        <v>0.13478024101292743</v>
      </c>
      <c r="G54" s="119">
        <f t="shared" si="28"/>
        <v>0.17641558230081264</v>
      </c>
      <c r="H54" s="119">
        <f t="shared" si="28"/>
        <v>0.22150500445838672</v>
      </c>
      <c r="I54" s="119">
        <f t="shared" si="28"/>
        <v>0.26977913784739954</v>
      </c>
      <c r="J54" s="119">
        <f t="shared" si="28"/>
        <v>0.32102200735110764</v>
      </c>
      <c r="K54" s="119">
        <f t="shared" si="28"/>
        <v>0.3750554771414471</v>
      </c>
      <c r="L54" s="119">
        <f t="shared" si="28"/>
        <v>0.43172938053367399</v>
      </c>
      <c r="M54" s="119">
        <f t="shared" si="28"/>
        <v>0.49091491377190233</v>
      </c>
      <c r="N54" s="119">
        <f t="shared" si="28"/>
        <v>0.55250002505332751</v>
      </c>
      <c r="O54" s="119">
        <f t="shared" si="28"/>
        <v>0.61638608531936279</v>
      </c>
      <c r="P54" s="119">
        <f t="shared" si="28"/>
        <v>0.68248541636574067</v>
      </c>
      <c r="T54">
        <v>3</v>
      </c>
      <c r="U54">
        <v>3</v>
      </c>
      <c r="V54">
        <v>6.059711882254501E-2</v>
      </c>
      <c r="W54">
        <v>2.230730019634744E-2</v>
      </c>
    </row>
    <row r="55" spans="1:23" x14ac:dyDescent="0.25">
      <c r="A55" s="104">
        <v>2</v>
      </c>
      <c r="B55" s="119">
        <f t="shared" ref="B55:P55" si="29">VLOOKUP(B$52/9,$T$36:$W$50,4)</f>
        <v>6.4773557318540459E-3</v>
      </c>
      <c r="C55" s="119">
        <f t="shared" si="29"/>
        <v>1.8024657964459293E-2</v>
      </c>
      <c r="D55" s="119">
        <f t="shared" si="29"/>
        <v>3.279932422126635E-2</v>
      </c>
      <c r="E55" s="119">
        <f t="shared" si="29"/>
        <v>5.0157550115400476E-2</v>
      </c>
      <c r="F55" s="119">
        <f t="shared" si="29"/>
        <v>6.9730610160888259E-2</v>
      </c>
      <c r="G55" s="119">
        <f t="shared" si="29"/>
        <v>9.1271288011305476E-2</v>
      </c>
      <c r="H55" s="119">
        <f t="shared" si="29"/>
        <v>0.11459898719940789</v>
      </c>
      <c r="I55" s="119">
        <f t="shared" si="29"/>
        <v>0.13957434524080733</v>
      </c>
      <c r="J55" s="119">
        <f t="shared" si="29"/>
        <v>0.16608562411992447</v>
      </c>
      <c r="K55" s="119">
        <f t="shared" si="29"/>
        <v>0.19404066255340605</v>
      </c>
      <c r="L55" s="119">
        <f t="shared" si="29"/>
        <v>0.22336176952011766</v>
      </c>
      <c r="M55" s="119">
        <f t="shared" si="29"/>
        <v>0.25398230643549052</v>
      </c>
      <c r="N55" s="119">
        <f t="shared" si="29"/>
        <v>0.28584430159298613</v>
      </c>
      <c r="O55" s="119">
        <f t="shared" si="29"/>
        <v>0.31889672774719247</v>
      </c>
      <c r="P55" s="119">
        <f t="shared" si="29"/>
        <v>0.35309422324394252</v>
      </c>
      <c r="T55">
        <v>4</v>
      </c>
      <c r="U55">
        <v>3</v>
      </c>
      <c r="V55">
        <v>9.2666635558911845E-2</v>
      </c>
      <c r="W55">
        <v>3.4112883545695832E-2</v>
      </c>
    </row>
    <row r="56" spans="1:23" x14ac:dyDescent="0.25">
      <c r="A56" s="104">
        <v>3</v>
      </c>
      <c r="B56" s="119">
        <f t="shared" ref="B56:P56" si="30">VLOOKUP(B$52/9,$T$52:$W$66,4)</f>
        <v>4.4053443849710293E-3</v>
      </c>
      <c r="C56" s="119">
        <f t="shared" si="30"/>
        <v>1.2258833549045429E-2</v>
      </c>
      <c r="D56" s="119">
        <f t="shared" si="30"/>
        <v>2.230730019634744E-2</v>
      </c>
      <c r="E56" s="119">
        <f t="shared" si="30"/>
        <v>3.4112883545695832E-2</v>
      </c>
      <c r="F56" s="119">
        <f t="shared" si="30"/>
        <v>4.7424808000308044E-2</v>
      </c>
      <c r="G56" s="119">
        <f t="shared" si="30"/>
        <v>6.2074938106662918E-2</v>
      </c>
      <c r="H56" s="119">
        <f t="shared" si="30"/>
        <v>7.7940447565595289E-2</v>
      </c>
      <c r="I56" s="119">
        <f t="shared" si="30"/>
        <v>9.4926553912857314E-2</v>
      </c>
      <c r="J56" s="119">
        <f>VLOOKUP(J$52/9,$T$52:$W$66,4)</f>
        <v>0.11295726248953294</v>
      </c>
      <c r="K56" s="119">
        <f t="shared" si="30"/>
        <v>0.13196989305866444</v>
      </c>
      <c r="L56" s="119">
        <f t="shared" si="30"/>
        <v>0.15191160682030233</v>
      </c>
      <c r="M56" s="119">
        <f t="shared" si="30"/>
        <v>0.1727370818982821</v>
      </c>
      <c r="N56" s="119">
        <f t="shared" si="30"/>
        <v>0.19440689088696808</v>
      </c>
      <c r="O56" s="119">
        <f t="shared" si="30"/>
        <v>0.21688632941032129</v>
      </c>
      <c r="P56" s="119">
        <f t="shared" si="30"/>
        <v>0.2401445463437856</v>
      </c>
      <c r="T56">
        <v>5</v>
      </c>
      <c r="U56">
        <v>3</v>
      </c>
      <c r="V56">
        <v>0.12882808319411068</v>
      </c>
      <c r="W56">
        <v>4.7424808000308044E-2</v>
      </c>
    </row>
    <row r="57" spans="1:23" x14ac:dyDescent="0.25">
      <c r="A57" s="104">
        <v>4</v>
      </c>
      <c r="B57" s="119">
        <f t="shared" ref="B57:P57" si="31">VLOOKUP(B$52/9,$T$68:$W$82,4)</f>
        <v>3.3511586269384017E-3</v>
      </c>
      <c r="C57" s="119">
        <f t="shared" si="31"/>
        <v>9.3253312826655776E-3</v>
      </c>
      <c r="D57" s="119">
        <f t="shared" si="31"/>
        <v>1.6969229863554931E-2</v>
      </c>
      <c r="E57" s="119">
        <f t="shared" si="31"/>
        <v>2.59497723660157E-2</v>
      </c>
      <c r="F57" s="119">
        <f t="shared" si="31"/>
        <v>3.6076193044820209E-2</v>
      </c>
      <c r="G57" s="119">
        <f t="shared" si="31"/>
        <v>4.7220590758463209E-2</v>
      </c>
      <c r="H57" s="119">
        <f t="shared" si="31"/>
        <v>5.9289531174440177E-2</v>
      </c>
      <c r="I57" s="119">
        <f t="shared" si="31"/>
        <v>7.2210912989200293E-2</v>
      </c>
      <c r="J57" s="119">
        <f t="shared" si="31"/>
        <v>8.5926926838804499E-2</v>
      </c>
      <c r="K57" s="119">
        <f t="shared" si="31"/>
        <v>0.10038989167985103</v>
      </c>
      <c r="L57" s="119">
        <f t="shared" si="31"/>
        <v>0.1155596128794545</v>
      </c>
      <c r="M57" s="119">
        <f t="shared" si="31"/>
        <v>0.1314016139510964</v>
      </c>
      <c r="N57" s="119">
        <f>VLOOKUP(N$52/9,$T$68:$W$82,4)</f>
        <v>0.14788590234958895</v>
      </c>
      <c r="O57" s="119">
        <f t="shared" si="31"/>
        <v>0.16498607835246051</v>
      </c>
      <c r="P57" s="119">
        <f t="shared" si="31"/>
        <v>0.18267867341714722</v>
      </c>
      <c r="T57">
        <v>6</v>
      </c>
      <c r="U57">
        <v>3</v>
      </c>
      <c r="V57">
        <v>0.16862472675951579</v>
      </c>
      <c r="W57">
        <v>6.2074938106662918E-2</v>
      </c>
    </row>
    <row r="58" spans="1:23" x14ac:dyDescent="0.25">
      <c r="A58" s="104">
        <v>5</v>
      </c>
      <c r="B58" s="119">
        <f t="shared" ref="B58:P58" si="32">VLOOKUP(B$52/9,$T$84:$W$98,4)</f>
        <v>2.7105553202885191E-3</v>
      </c>
      <c r="C58" s="119">
        <f t="shared" si="32"/>
        <v>7.5427125766275348E-3</v>
      </c>
      <c r="D58" s="119">
        <f t="shared" si="32"/>
        <v>1.3725413031217607E-2</v>
      </c>
      <c r="E58" s="119">
        <f t="shared" si="32"/>
        <v>2.0989246221161571E-2</v>
      </c>
      <c r="F58" s="119">
        <f t="shared" si="32"/>
        <v>2.9179912943342306E-2</v>
      </c>
      <c r="G58" s="119">
        <f t="shared" si="32"/>
        <v>3.8193961479064301E-2</v>
      </c>
      <c r="H58" s="119">
        <f t="shared" si="32"/>
        <v>4.7955818286379445E-2</v>
      </c>
      <c r="I58" s="119">
        <f t="shared" si="32"/>
        <v>5.8407164857065416E-2</v>
      </c>
      <c r="J58" s="119">
        <f t="shared" si="32"/>
        <v>6.9501242593147189E-2</v>
      </c>
      <c r="K58" s="119">
        <f t="shared" si="32"/>
        <v>8.1199485100055854E-2</v>
      </c>
      <c r="L58" s="119">
        <f t="shared" si="32"/>
        <v>9.3469381300834681E-2</v>
      </c>
      <c r="M58" s="119">
        <f t="shared" si="32"/>
        <v>0.10628304519116076</v>
      </c>
      <c r="N58" s="119">
        <f t="shared" si="32"/>
        <v>0.11961621756340539</v>
      </c>
      <c r="O58" s="119">
        <f t="shared" si="32"/>
        <v>0.13344754523314317</v>
      </c>
      <c r="P58" s="119">
        <f t="shared" si="32"/>
        <v>0.14775804587515842</v>
      </c>
      <c r="T58">
        <v>7</v>
      </c>
      <c r="U58">
        <v>3</v>
      </c>
      <c r="V58">
        <v>0.21172291225937093</v>
      </c>
      <c r="W58">
        <v>7.7940447565595289E-2</v>
      </c>
    </row>
    <row r="59" spans="1:23" x14ac:dyDescent="0.25">
      <c r="A59" s="104">
        <v>6</v>
      </c>
      <c r="B59" s="119">
        <f t="shared" ref="B59:P59" si="33">VLOOKUP(B$52/9,$T$100:$W$114,4)</f>
        <v>2.2791720034349011E-3</v>
      </c>
      <c r="C59" s="119">
        <f t="shared" si="33"/>
        <v>6.3422942176940816E-3</v>
      </c>
      <c r="D59" s="119">
        <f t="shared" si="33"/>
        <v>1.1541021458658858E-2</v>
      </c>
      <c r="E59" s="119">
        <f t="shared" si="33"/>
        <v>1.7648819783313341E-2</v>
      </c>
      <c r="F59" s="119">
        <f t="shared" si="33"/>
        <v>2.4535946617778085E-2</v>
      </c>
      <c r="G59" s="119">
        <f t="shared" si="33"/>
        <v>3.2115414524758162E-2</v>
      </c>
      <c r="H59" s="119">
        <f t="shared" si="33"/>
        <v>4.0323677447945738E-2</v>
      </c>
      <c r="I59" s="119">
        <f t="shared" si="33"/>
        <v>4.9111698236087159E-2</v>
      </c>
      <c r="J59" s="119">
        <f t="shared" si="33"/>
        <v>5.8440159895123356E-2</v>
      </c>
      <c r="K59" s="119">
        <f t="shared" si="33"/>
        <v>6.8276633849951293E-2</v>
      </c>
      <c r="L59" s="119">
        <f t="shared" si="33"/>
        <v>7.8593783142772475E-2</v>
      </c>
      <c r="M59" s="119">
        <f t="shared" si="33"/>
        <v>8.9368159810778405E-2</v>
      </c>
      <c r="N59" s="119">
        <f t="shared" si="33"/>
        <v>0.10057936548525141</v>
      </c>
      <c r="O59" s="119">
        <f t="shared" si="33"/>
        <v>0.11220944532875939</v>
      </c>
      <c r="P59" s="119">
        <f t="shared" si="33"/>
        <v>0.12424243804220329</v>
      </c>
      <c r="T59">
        <v>8</v>
      </c>
      <c r="U59">
        <v>3</v>
      </c>
      <c r="V59">
        <v>0.25786516594303094</v>
      </c>
      <c r="W59">
        <v>9.4926553912857314E-2</v>
      </c>
    </row>
    <row r="60" spans="1:23" x14ac:dyDescent="0.25">
      <c r="A60" s="104">
        <v>7</v>
      </c>
      <c r="B60" s="119">
        <f t="shared" ref="B60:P60" si="34">VLOOKUP(B$52/9,$T$116:$W$130,4)</f>
        <v>1.9684653569230961E-3</v>
      </c>
      <c r="C60" s="119">
        <f t="shared" si="34"/>
        <v>5.4776850681427999E-3</v>
      </c>
      <c r="D60" s="119">
        <f t="shared" si="34"/>
        <v>9.9676991866510991E-3</v>
      </c>
      <c r="E60" s="119">
        <f t="shared" si="34"/>
        <v>1.5242855862424421E-2</v>
      </c>
      <c r="F60" s="119">
        <f t="shared" si="34"/>
        <v>2.1191099593896923E-2</v>
      </c>
      <c r="G60" s="119">
        <f t="shared" si="34"/>
        <v>2.7737301449796845E-2</v>
      </c>
      <c r="H60" s="119">
        <f t="shared" si="34"/>
        <v>3.4826578248765984E-2</v>
      </c>
      <c r="I60" s="119">
        <f t="shared" si="34"/>
        <v>4.2416577797420266E-2</v>
      </c>
      <c r="J60" s="119">
        <f t="shared" si="34"/>
        <v>5.0473342965439143E-2</v>
      </c>
      <c r="K60" s="119">
        <f t="shared" si="34"/>
        <v>5.8968865982207443E-2</v>
      </c>
      <c r="L60" s="119">
        <f t="shared" si="34"/>
        <v>6.7879536582984762E-2</v>
      </c>
      <c r="M60" s="119">
        <f t="shared" si="34"/>
        <v>7.7185103333298671E-2</v>
      </c>
      <c r="N60" s="119">
        <f t="shared" si="34"/>
        <v>8.6867948658829228E-2</v>
      </c>
      <c r="O60" s="119">
        <f t="shared" si="34"/>
        <v>9.6912565403722895E-2</v>
      </c>
      <c r="P60" s="119">
        <f t="shared" si="34"/>
        <v>0.10730516818263769</v>
      </c>
      <c r="T60">
        <v>9</v>
      </c>
      <c r="U60">
        <v>3</v>
      </c>
      <c r="V60">
        <v>0.306845050575345</v>
      </c>
      <c r="W60">
        <v>0.11295726248953294</v>
      </c>
    </row>
    <row r="61" spans="1:23" x14ac:dyDescent="0.25">
      <c r="A61" s="104">
        <v>8</v>
      </c>
      <c r="B61" s="119">
        <f t="shared" ref="B61:P61" si="35">VLOOKUP(B$52/9,$T$132:$W$146,4)</f>
        <v>1.7337729480682992E-3</v>
      </c>
      <c r="C61" s="119">
        <f t="shared" si="35"/>
        <v>4.8246021479537143E-3</v>
      </c>
      <c r="D61" s="119">
        <f t="shared" si="35"/>
        <v>8.779289482295536E-3</v>
      </c>
      <c r="E61" s="119">
        <f t="shared" si="35"/>
        <v>1.3425509904266109E-2</v>
      </c>
      <c r="F61" s="119">
        <f t="shared" si="35"/>
        <v>1.8664567850535448E-2</v>
      </c>
      <c r="G61" s="119">
        <f t="shared" si="35"/>
        <v>2.4430291717829896E-2</v>
      </c>
      <c r="H61" s="119">
        <f t="shared" si="35"/>
        <v>3.0674341831382953E-2</v>
      </c>
      <c r="I61" s="119">
        <f t="shared" si="35"/>
        <v>3.7359415483822905E-2</v>
      </c>
      <c r="J61" s="119">
        <f t="shared" si="35"/>
        <v>4.4455604120378016E-2</v>
      </c>
      <c r="K61" s="119">
        <f t="shared" si="35"/>
        <v>5.193823922714353E-2</v>
      </c>
      <c r="L61" s="119">
        <f t="shared" si="35"/>
        <v>5.9786525498700595E-2</v>
      </c>
      <c r="M61" s="119">
        <f t="shared" si="35"/>
        <v>6.7982625999730859E-2</v>
      </c>
      <c r="N61" s="119">
        <f t="shared" si="35"/>
        <v>7.65110236302462E-2</v>
      </c>
      <c r="O61" s="119">
        <f t="shared" si="35"/>
        <v>8.5358060091803217E-2</v>
      </c>
      <c r="P61" s="119">
        <f t="shared" si="35"/>
        <v>9.4511593576520697E-2</v>
      </c>
      <c r="T61">
        <v>10</v>
      </c>
      <c r="U61">
        <v>3</v>
      </c>
      <c r="V61">
        <v>0.35849229715319209</v>
      </c>
      <c r="W61">
        <v>0.13196989305866444</v>
      </c>
    </row>
    <row r="62" spans="1:23" x14ac:dyDescent="0.25">
      <c r="A62" s="104">
        <v>9</v>
      </c>
      <c r="B62" s="119">
        <f t="shared" ref="B62:P62" si="36">VLOOKUP(B$52/9,$T$148:$W$162,4)</f>
        <v>1.5500982196080732E-3</v>
      </c>
      <c r="C62" s="119">
        <f t="shared" si="36"/>
        <v>4.3134870734906237E-3</v>
      </c>
      <c r="D62" s="119">
        <f t="shared" si="36"/>
        <v>7.8492175178373463E-3</v>
      </c>
      <c r="E62" s="119">
        <f t="shared" si="36"/>
        <v>1.200322050423043E-2</v>
      </c>
      <c r="F62" s="119">
        <f t="shared" si="36"/>
        <v>1.6687256210280516E-2</v>
      </c>
      <c r="G62" s="119">
        <f t="shared" si="36"/>
        <v>2.1842163207417963E-2</v>
      </c>
      <c r="H62" s="119">
        <f t="shared" si="36"/>
        <v>2.7424722893186513E-2</v>
      </c>
      <c r="I62" s="119">
        <f t="shared" si="36"/>
        <v>3.3401584383695712E-2</v>
      </c>
      <c r="J62" s="119">
        <f t="shared" si="36"/>
        <v>3.9746007616151054E-2</v>
      </c>
      <c r="K62" s="119">
        <f t="shared" si="36"/>
        <v>4.6435937442254889E-2</v>
      </c>
      <c r="L62" s="119">
        <f t="shared" si="36"/>
        <v>5.3452781597119303E-2</v>
      </c>
      <c r="M62" s="119">
        <f t="shared" si="36"/>
        <v>6.0780592778237899E-2</v>
      </c>
      <c r="N62" s="119">
        <f t="shared" si="36"/>
        <v>6.8405497756655401E-2</v>
      </c>
      <c r="O62" s="119">
        <f t="shared" si="36"/>
        <v>7.6315285184788112E-2</v>
      </c>
      <c r="P62" s="119">
        <f t="shared" si="36"/>
        <v>8.4499099549634527E-2</v>
      </c>
      <c r="T62">
        <v>11</v>
      </c>
      <c r="U62">
        <v>3</v>
      </c>
      <c r="V62">
        <v>0.4126633706449549</v>
      </c>
      <c r="W62">
        <v>0.15191160682030233</v>
      </c>
    </row>
    <row r="63" spans="1:23" x14ac:dyDescent="0.25">
      <c r="A63" s="104">
        <v>10</v>
      </c>
      <c r="B63" s="119">
        <f t="shared" ref="B63:P63" si="37">VLOOKUP(B$52/9,$T$164:$W$178,4)</f>
        <v>1.4023470720788476E-3</v>
      </c>
      <c r="C63" s="119">
        <f t="shared" si="37"/>
        <v>3.9023372141469615E-3</v>
      </c>
      <c r="D63" s="119">
        <f t="shared" si="37"/>
        <v>7.1010514462962826E-3</v>
      </c>
      <c r="E63" s="119">
        <f t="shared" si="37"/>
        <v>1.0859106162885799E-2</v>
      </c>
      <c r="F63" s="119">
        <f t="shared" si="37"/>
        <v>1.5096672321469563E-2</v>
      </c>
      <c r="G63" s="119">
        <f t="shared" si="37"/>
        <v>1.9760227599987485E-2</v>
      </c>
      <c r="H63" s="119">
        <f t="shared" si="37"/>
        <v>2.4810672875656754E-2</v>
      </c>
      <c r="I63" s="119">
        <f t="shared" si="37"/>
        <v>3.021783618015729E-2</v>
      </c>
      <c r="J63" s="119">
        <f t="shared" si="37"/>
        <v>3.5957526240773134E-2</v>
      </c>
      <c r="K63" s="119">
        <f t="shared" si="37"/>
        <v>4.2009790145973745E-2</v>
      </c>
      <c r="L63" s="119">
        <f t="shared" si="37"/>
        <v>4.8357807795007389E-2</v>
      </c>
      <c r="M63" s="119">
        <f t="shared" si="37"/>
        <v>5.4987151938881401E-2</v>
      </c>
      <c r="N63" s="119">
        <f t="shared" si="37"/>
        <v>6.1885271707102771E-2</v>
      </c>
      <c r="O63" s="119">
        <f t="shared" si="37"/>
        <v>6.9041119704536483E-2</v>
      </c>
      <c r="P63" s="119">
        <f t="shared" si="37"/>
        <v>7.6444875136163853E-2</v>
      </c>
      <c r="T63">
        <v>12</v>
      </c>
      <c r="U63">
        <v>3</v>
      </c>
      <c r="V63">
        <v>0.46923515551934875</v>
      </c>
      <c r="W63">
        <v>0.1727370818982821</v>
      </c>
    </row>
    <row r="64" spans="1:23" x14ac:dyDescent="0.25">
      <c r="A64" s="104">
        <v>11</v>
      </c>
      <c r="B64" s="119">
        <f t="shared" ref="B64:P64" si="38">VLOOKUP(B$52/9,$T$180:$W$194,4)</f>
        <v>1.2808598830970311E-3</v>
      </c>
      <c r="C64" s="119">
        <f t="shared" si="38"/>
        <v>3.5642725595083189E-3</v>
      </c>
      <c r="D64" s="119">
        <f t="shared" si="38"/>
        <v>6.4858779302658003E-3</v>
      </c>
      <c r="E64" s="119">
        <f t="shared" si="38"/>
        <v>9.918367376567757E-3</v>
      </c>
      <c r="F64" s="119">
        <f t="shared" si="38"/>
        <v>1.3788827551917527E-2</v>
      </c>
      <c r="G64" s="119">
        <f t="shared" si="38"/>
        <v>1.804837284408551E-2</v>
      </c>
      <c r="H64" s="119">
        <f t="shared" si="38"/>
        <v>2.2661291339213924E-2</v>
      </c>
      <c r="I64" s="119">
        <f t="shared" si="38"/>
        <v>2.7600024906662555E-2</v>
      </c>
      <c r="J64" s="119">
        <f t="shared" si="38"/>
        <v>3.2842477995793581E-2</v>
      </c>
      <c r="K64" s="119">
        <f t="shared" si="38"/>
        <v>3.8370426242297112E-2</v>
      </c>
      <c r="L64" s="119">
        <f t="shared" si="38"/>
        <v>4.4168506693084378E-2</v>
      </c>
      <c r="M64" s="119">
        <f t="shared" si="38"/>
        <v>5.0223541950900376E-2</v>
      </c>
      <c r="N64" s="119">
        <f t="shared" si="38"/>
        <v>5.6524068443828769E-2</v>
      </c>
      <c r="O64" s="119">
        <f t="shared" si="38"/>
        <v>6.3059995827244544E-2</v>
      </c>
      <c r="P64" s="119">
        <f t="shared" si="38"/>
        <v>6.9822354094642158E-2</v>
      </c>
      <c r="T64">
        <v>13</v>
      </c>
      <c r="U64">
        <v>3</v>
      </c>
      <c r="V64">
        <v>0.52810054839931131</v>
      </c>
      <c r="W64">
        <v>0.19440689088696808</v>
      </c>
    </row>
    <row r="65" spans="1:23" x14ac:dyDescent="0.25">
      <c r="A65" s="104">
        <v>12</v>
      </c>
      <c r="B65" s="119">
        <f t="shared" ref="B65:P65" si="39">VLOOKUP(B$52/9,$T$196:$W$210,4)</f>
        <v>1.1791643438735658E-3</v>
      </c>
      <c r="C65" s="119">
        <f t="shared" si="39"/>
        <v>3.2812824958315875E-3</v>
      </c>
      <c r="D65" s="119">
        <f t="shared" si="39"/>
        <v>5.9709232016805598E-3</v>
      </c>
      <c r="E65" s="119">
        <f t="shared" si="39"/>
        <v>9.130885676276207E-3</v>
      </c>
      <c r="F65" s="119">
        <f t="shared" si="39"/>
        <v>1.2694045623264212E-2</v>
      </c>
      <c r="G65" s="119">
        <f t="shared" si="39"/>
        <v>1.6615398767289961E-2</v>
      </c>
      <c r="H65" s="119">
        <f t="shared" si="39"/>
        <v>2.0862068588424699E-2</v>
      </c>
      <c r="I65" s="119">
        <f t="shared" si="39"/>
        <v>2.5408684969715298E-2</v>
      </c>
      <c r="J65" s="119">
        <f t="shared" si="39"/>
        <v>3.0234906665554638E-2</v>
      </c>
      <c r="K65" s="119">
        <f t="shared" si="39"/>
        <v>3.5323956258781354E-2</v>
      </c>
      <c r="L65" s="119">
        <f t="shared" si="39"/>
        <v>4.0661690557983222E-2</v>
      </c>
      <c r="M65" s="119">
        <f t="shared" si="39"/>
        <v>4.6235978402528848E-2</v>
      </c>
      <c r="N65" s="119">
        <f t="shared" si="39"/>
        <v>5.2036266385729828E-2</v>
      </c>
      <c r="O65" s="119">
        <f t="shared" si="39"/>
        <v>5.8053265299019156E-2</v>
      </c>
      <c r="P65" s="119">
        <f t="shared" si="39"/>
        <v>6.4278717321244627E-2</v>
      </c>
      <c r="T65">
        <v>14</v>
      </c>
      <c r="U65">
        <v>3</v>
      </c>
      <c r="V65">
        <v>0.58916527587748324</v>
      </c>
      <c r="W65">
        <v>0.21688632941032129</v>
      </c>
    </row>
    <row r="66" spans="1:23" x14ac:dyDescent="0.25">
      <c r="T66">
        <v>15</v>
      </c>
      <c r="U66">
        <v>3</v>
      </c>
      <c r="V66">
        <v>0.65234553178978039</v>
      </c>
      <c r="W66">
        <v>0.2401445463437856</v>
      </c>
    </row>
    <row r="67" spans="1:23" x14ac:dyDescent="0.25">
      <c r="T67">
        <v>0</v>
      </c>
      <c r="U67">
        <v>4</v>
      </c>
      <c r="V67">
        <v>0</v>
      </c>
      <c r="W67">
        <v>0</v>
      </c>
    </row>
    <row r="68" spans="1:23" x14ac:dyDescent="0.25">
      <c r="T68">
        <v>1</v>
      </c>
      <c r="U68">
        <v>4</v>
      </c>
      <c r="V68">
        <v>9.1033229356474923E-3</v>
      </c>
      <c r="W68">
        <v>3.3511586269384017E-3</v>
      </c>
    </row>
    <row r="69" spans="1:23" x14ac:dyDescent="0.25">
      <c r="T69">
        <v>2</v>
      </c>
      <c r="U69">
        <v>4</v>
      </c>
      <c r="V69">
        <v>2.533198562001733E-2</v>
      </c>
      <c r="W69">
        <v>9.3253312826655776E-3</v>
      </c>
    </row>
    <row r="70" spans="1:23" x14ac:dyDescent="0.25">
      <c r="T70">
        <v>3</v>
      </c>
      <c r="U70">
        <v>4</v>
      </c>
      <c r="V70">
        <v>4.609640921662448E-2</v>
      </c>
      <c r="W70">
        <v>1.6969229863554931E-2</v>
      </c>
    </row>
    <row r="71" spans="1:23" x14ac:dyDescent="0.25">
      <c r="T71">
        <v>4</v>
      </c>
      <c r="U71">
        <v>4</v>
      </c>
      <c r="V71">
        <v>7.0491786349785465E-2</v>
      </c>
      <c r="W71">
        <v>2.59497723660157E-2</v>
      </c>
    </row>
    <row r="72" spans="1:23" x14ac:dyDescent="0.25">
      <c r="T72">
        <v>5</v>
      </c>
      <c r="U72">
        <v>4</v>
      </c>
      <c r="V72">
        <v>9.7999907535202158E-2</v>
      </c>
      <c r="W72">
        <v>3.6076193044820209E-2</v>
      </c>
    </row>
    <row r="73" spans="1:23" x14ac:dyDescent="0.25">
      <c r="T73">
        <v>6</v>
      </c>
      <c r="U73">
        <v>4</v>
      </c>
      <c r="V73">
        <v>0.12827333311854103</v>
      </c>
      <c r="W73">
        <v>4.7220590758463209E-2</v>
      </c>
    </row>
    <row r="74" spans="1:23" x14ac:dyDescent="0.25">
      <c r="T74">
        <v>7</v>
      </c>
      <c r="U74">
        <v>4</v>
      </c>
      <c r="V74">
        <v>0.16105825150902031</v>
      </c>
      <c r="W74">
        <v>5.9289531174440177E-2</v>
      </c>
    </row>
    <row r="75" spans="1:23" x14ac:dyDescent="0.25">
      <c r="T75">
        <v>8</v>
      </c>
      <c r="U75">
        <v>4</v>
      </c>
      <c r="V75">
        <v>0.19615880165577002</v>
      </c>
      <c r="W75">
        <v>7.2210912989200293E-2</v>
      </c>
    </row>
    <row r="76" spans="1:23" x14ac:dyDescent="0.25">
      <c r="T76">
        <v>9</v>
      </c>
      <c r="U76">
        <v>4</v>
      </c>
      <c r="V76">
        <v>0.2334179461376393</v>
      </c>
      <c r="W76">
        <v>8.5926926838804499E-2</v>
      </c>
    </row>
    <row r="77" spans="1:23" x14ac:dyDescent="0.25">
      <c r="T77">
        <v>10</v>
      </c>
      <c r="U77">
        <v>4</v>
      </c>
      <c r="V77">
        <v>0.27270616081557203</v>
      </c>
      <c r="W77">
        <v>0.10038989167985103</v>
      </c>
    </row>
    <row r="78" spans="1:23" x14ac:dyDescent="0.25">
      <c r="T78">
        <v>11</v>
      </c>
      <c r="U78">
        <v>4</v>
      </c>
      <c r="V78">
        <v>0.31391425816245616</v>
      </c>
      <c r="W78">
        <v>0.1155596128794545</v>
      </c>
    </row>
    <row r="79" spans="1:23" x14ac:dyDescent="0.25">
      <c r="T79">
        <v>12</v>
      </c>
      <c r="U79">
        <v>4</v>
      </c>
      <c r="V79">
        <v>0.35694858382605016</v>
      </c>
      <c r="W79">
        <v>0.1314016139510964</v>
      </c>
    </row>
    <row r="80" spans="1:23" x14ac:dyDescent="0.25">
      <c r="T80">
        <v>13</v>
      </c>
      <c r="U80">
        <v>4</v>
      </c>
      <c r="V80">
        <v>0.40172766394763809</v>
      </c>
      <c r="W80">
        <v>0.14788590234958895</v>
      </c>
    </row>
    <row r="81" spans="20:23" x14ac:dyDescent="0.25">
      <c r="T81">
        <v>14</v>
      </c>
      <c r="U81">
        <v>4</v>
      </c>
      <c r="V81">
        <v>0.44817978446476414</v>
      </c>
      <c r="W81">
        <v>0.16498607835246051</v>
      </c>
    </row>
    <row r="82" spans="20:23" x14ac:dyDescent="0.25">
      <c r="T82">
        <v>15</v>
      </c>
      <c r="U82">
        <v>4</v>
      </c>
      <c r="V82">
        <v>0.49624119377818449</v>
      </c>
      <c r="W82">
        <v>0.18267867341714722</v>
      </c>
    </row>
    <row r="83" spans="20:23" x14ac:dyDescent="0.25">
      <c r="T83">
        <v>0</v>
      </c>
      <c r="U83">
        <v>5</v>
      </c>
      <c r="V83">
        <v>0</v>
      </c>
      <c r="W83">
        <v>0</v>
      </c>
    </row>
    <row r="84" spans="20:23" x14ac:dyDescent="0.25">
      <c r="T84">
        <v>1</v>
      </c>
      <c r="U84">
        <v>5</v>
      </c>
      <c r="V84">
        <v>7.3631430685412681E-3</v>
      </c>
      <c r="W84">
        <v>2.7105553202885191E-3</v>
      </c>
    </row>
    <row r="85" spans="20:23" x14ac:dyDescent="0.25">
      <c r="T85">
        <v>2</v>
      </c>
      <c r="U85">
        <v>5</v>
      </c>
      <c r="V85">
        <v>2.0489554819594108E-2</v>
      </c>
      <c r="W85">
        <v>7.5427125766275348E-3</v>
      </c>
    </row>
    <row r="86" spans="20:23" x14ac:dyDescent="0.25">
      <c r="T86">
        <v>3</v>
      </c>
      <c r="U86">
        <v>5</v>
      </c>
      <c r="V86">
        <v>3.7284677079720545E-2</v>
      </c>
      <c r="W86">
        <v>1.3725413031217607E-2</v>
      </c>
    </row>
    <row r="87" spans="20:23" x14ac:dyDescent="0.25">
      <c r="T87">
        <v>4</v>
      </c>
      <c r="U87">
        <v>5</v>
      </c>
      <c r="V87">
        <v>5.7016664323531106E-2</v>
      </c>
      <c r="W87">
        <v>2.0989246221161571E-2</v>
      </c>
    </row>
    <row r="88" spans="20:23" x14ac:dyDescent="0.25">
      <c r="T88">
        <v>5</v>
      </c>
      <c r="U88">
        <v>5</v>
      </c>
      <c r="V88">
        <v>7.9266367345912969E-2</v>
      </c>
      <c r="W88">
        <v>2.9179912943342306E-2</v>
      </c>
    </row>
    <row r="89" spans="20:23" x14ac:dyDescent="0.25">
      <c r="T89">
        <v>6</v>
      </c>
      <c r="U89">
        <v>5</v>
      </c>
      <c r="V89">
        <v>0.10375276262384855</v>
      </c>
      <c r="W89">
        <v>3.8193961479064301E-2</v>
      </c>
    </row>
    <row r="90" spans="20:23" x14ac:dyDescent="0.25">
      <c r="T90">
        <v>7</v>
      </c>
      <c r="U90">
        <v>5</v>
      </c>
      <c r="V90">
        <v>0.1302705568739301</v>
      </c>
      <c r="W90">
        <v>4.7955818286379445E-2</v>
      </c>
    </row>
    <row r="91" spans="20:23" x14ac:dyDescent="0.25">
      <c r="T91">
        <v>8</v>
      </c>
      <c r="U91">
        <v>5</v>
      </c>
      <c r="V91">
        <v>0.15866132959967463</v>
      </c>
      <c r="W91">
        <v>5.8407164857065416E-2</v>
      </c>
    </row>
    <row r="92" spans="20:23" x14ac:dyDescent="0.25">
      <c r="T92">
        <v>9</v>
      </c>
      <c r="U92">
        <v>5</v>
      </c>
      <c r="V92">
        <v>0.18879806245764613</v>
      </c>
      <c r="W92">
        <v>6.9501242593147189E-2</v>
      </c>
    </row>
    <row r="93" spans="20:23" x14ac:dyDescent="0.25">
      <c r="T93">
        <v>10</v>
      </c>
      <c r="U93">
        <v>5</v>
      </c>
      <c r="V93">
        <v>0.22057599098178737</v>
      </c>
      <c r="W93">
        <v>8.1199485100055854E-2</v>
      </c>
    </row>
    <row r="94" spans="20:23" x14ac:dyDescent="0.25">
      <c r="T94">
        <v>11</v>
      </c>
      <c r="U94">
        <v>5</v>
      </c>
      <c r="V94">
        <v>0.25390679979659103</v>
      </c>
      <c r="W94">
        <v>9.3469381300834681E-2</v>
      </c>
    </row>
    <row r="95" spans="20:23" x14ac:dyDescent="0.25">
      <c r="T95">
        <v>12</v>
      </c>
      <c r="U95">
        <v>5</v>
      </c>
      <c r="V95">
        <v>0.28871473739907066</v>
      </c>
      <c r="W95">
        <v>0.10628304519116076</v>
      </c>
    </row>
    <row r="96" spans="20:23" x14ac:dyDescent="0.25">
      <c r="T96">
        <v>13</v>
      </c>
      <c r="U96">
        <v>5</v>
      </c>
      <c r="V96">
        <v>0.32493390437180342</v>
      </c>
      <c r="W96">
        <v>0.11961621756340539</v>
      </c>
    </row>
    <row r="97" spans="20:23" x14ac:dyDescent="0.25">
      <c r="T97">
        <v>14</v>
      </c>
      <c r="U97">
        <v>5</v>
      </c>
      <c r="V97">
        <v>0.36250629542313689</v>
      </c>
      <c r="W97">
        <v>0.13344754523314317</v>
      </c>
    </row>
    <row r="98" spans="20:23" x14ac:dyDescent="0.25">
      <c r="T98">
        <v>15</v>
      </c>
      <c r="U98">
        <v>5</v>
      </c>
      <c r="V98">
        <v>0.40138034563008645</v>
      </c>
      <c r="W98">
        <v>0.14775804587515842</v>
      </c>
    </row>
    <row r="99" spans="20:23" x14ac:dyDescent="0.25">
      <c r="T99">
        <v>0</v>
      </c>
      <c r="U99">
        <v>6</v>
      </c>
      <c r="V99">
        <v>0</v>
      </c>
      <c r="W99">
        <v>0</v>
      </c>
    </row>
    <row r="100" spans="20:23" x14ac:dyDescent="0.25">
      <c r="T100">
        <v>1</v>
      </c>
      <c r="U100">
        <v>6</v>
      </c>
      <c r="V100">
        <v>6.1913030933154738E-3</v>
      </c>
      <c r="W100">
        <v>2.2791720034349011E-3</v>
      </c>
    </row>
    <row r="101" spans="20:23" x14ac:dyDescent="0.25">
      <c r="T101">
        <v>2</v>
      </c>
      <c r="U101">
        <v>6</v>
      </c>
      <c r="V101">
        <v>1.7228653980282088E-2</v>
      </c>
      <c r="W101">
        <v>6.3422942176940816E-3</v>
      </c>
    </row>
    <row r="102" spans="20:23" x14ac:dyDescent="0.25">
      <c r="T102">
        <v>3</v>
      </c>
      <c r="U102">
        <v>6</v>
      </c>
      <c r="V102">
        <v>3.1350842213456381E-2</v>
      </c>
      <c r="W102">
        <v>1.1541021458658858E-2</v>
      </c>
    </row>
    <row r="103" spans="20:23" x14ac:dyDescent="0.25">
      <c r="T103">
        <v>4</v>
      </c>
      <c r="U103">
        <v>6</v>
      </c>
      <c r="V103">
        <v>4.7942495060977183E-2</v>
      </c>
      <c r="W103">
        <v>1.7648819783313341E-2</v>
      </c>
    </row>
    <row r="104" spans="20:23" x14ac:dyDescent="0.25">
      <c r="T104">
        <v>5</v>
      </c>
      <c r="U104">
        <v>6</v>
      </c>
      <c r="V104">
        <v>6.6651170672126808E-2</v>
      </c>
      <c r="W104">
        <v>2.4535946617778085E-2</v>
      </c>
    </row>
    <row r="105" spans="20:23" x14ac:dyDescent="0.25">
      <c r="T105">
        <v>6</v>
      </c>
      <c r="U105">
        <v>6</v>
      </c>
      <c r="V105">
        <v>8.7240570255593342E-2</v>
      </c>
      <c r="W105">
        <v>3.2115414524758162E-2</v>
      </c>
    </row>
    <row r="106" spans="20:23" x14ac:dyDescent="0.25">
      <c r="T106">
        <v>7</v>
      </c>
      <c r="U106">
        <v>6</v>
      </c>
      <c r="V106">
        <v>0.10953807283569184</v>
      </c>
      <c r="W106">
        <v>4.0323677447945738E-2</v>
      </c>
    </row>
    <row r="107" spans="20:23" x14ac:dyDescent="0.25">
      <c r="T107">
        <v>8</v>
      </c>
      <c r="U107">
        <v>6</v>
      </c>
      <c r="V107">
        <v>0.13341047044664059</v>
      </c>
      <c r="W107">
        <v>4.9111698236087159E-2</v>
      </c>
    </row>
    <row r="108" spans="20:23" x14ac:dyDescent="0.25">
      <c r="T108">
        <v>9</v>
      </c>
      <c r="U108">
        <v>6</v>
      </c>
      <c r="V108">
        <v>0.15875095964114788</v>
      </c>
      <c r="W108">
        <v>5.8440159895123356E-2</v>
      </c>
    </row>
    <row r="109" spans="20:23" x14ac:dyDescent="0.25">
      <c r="T109">
        <v>10</v>
      </c>
      <c r="U109">
        <v>6</v>
      </c>
      <c r="V109">
        <v>0.18547144915754291</v>
      </c>
      <c r="W109">
        <v>6.8276633849951293E-2</v>
      </c>
    </row>
    <row r="110" spans="20:23" x14ac:dyDescent="0.25">
      <c r="T110">
        <v>11</v>
      </c>
      <c r="U110">
        <v>6</v>
      </c>
      <c r="V110">
        <v>0.21349767896142519</v>
      </c>
      <c r="W110">
        <v>7.8593783142772475E-2</v>
      </c>
    </row>
    <row r="111" spans="20:23" x14ac:dyDescent="0.25">
      <c r="T111">
        <v>12</v>
      </c>
      <c r="U111">
        <v>6</v>
      </c>
      <c r="V111">
        <v>0.24276595335784526</v>
      </c>
      <c r="W111">
        <v>8.9368159810778405E-2</v>
      </c>
    </row>
    <row r="112" spans="20:23" x14ac:dyDescent="0.25">
      <c r="T112">
        <v>13</v>
      </c>
      <c r="U112">
        <v>6</v>
      </c>
      <c r="V112">
        <v>0.27322086078367847</v>
      </c>
      <c r="W112">
        <v>0.10057936548525141</v>
      </c>
    </row>
    <row r="113" spans="20:23" x14ac:dyDescent="0.25">
      <c r="T113">
        <v>14</v>
      </c>
      <c r="U113">
        <v>6</v>
      </c>
      <c r="V113">
        <v>0.3048136274560046</v>
      </c>
      <c r="W113">
        <v>0.11220944532875939</v>
      </c>
    </row>
    <row r="114" spans="20:23" x14ac:dyDescent="0.25">
      <c r="T114">
        <v>15</v>
      </c>
      <c r="U114">
        <v>6</v>
      </c>
      <c r="V114">
        <v>0.33750089497960978</v>
      </c>
      <c r="W114">
        <v>0.12424243804220329</v>
      </c>
    </row>
    <row r="115" spans="20:23" x14ac:dyDescent="0.25">
      <c r="T115">
        <v>0</v>
      </c>
      <c r="U115">
        <v>7</v>
      </c>
      <c r="V115">
        <v>0</v>
      </c>
      <c r="W115">
        <v>0</v>
      </c>
    </row>
    <row r="116" spans="20:23" x14ac:dyDescent="0.25">
      <c r="T116">
        <v>1</v>
      </c>
      <c r="U116">
        <v>7</v>
      </c>
      <c r="V116">
        <v>5.3472777109559713E-3</v>
      </c>
      <c r="W116">
        <v>1.9684653569230961E-3</v>
      </c>
    </row>
    <row r="117" spans="20:23" x14ac:dyDescent="0.25">
      <c r="T117">
        <v>2</v>
      </c>
      <c r="U117">
        <v>7</v>
      </c>
      <c r="V117">
        <v>1.4879968890232628E-2</v>
      </c>
      <c r="W117">
        <v>5.4776850681427999E-3</v>
      </c>
    </row>
    <row r="118" spans="20:23" x14ac:dyDescent="0.25">
      <c r="T118">
        <v>3</v>
      </c>
      <c r="U118">
        <v>7</v>
      </c>
      <c r="V118">
        <v>2.707695896340619E-2</v>
      </c>
      <c r="W118">
        <v>9.9676991866510991E-3</v>
      </c>
    </row>
    <row r="119" spans="20:23" x14ac:dyDescent="0.25">
      <c r="T119">
        <v>4</v>
      </c>
      <c r="U119">
        <v>7</v>
      </c>
      <c r="V119">
        <v>4.1406765487537613E-2</v>
      </c>
      <c r="W119">
        <v>1.5242855862424421E-2</v>
      </c>
    </row>
    <row r="120" spans="20:23" x14ac:dyDescent="0.25">
      <c r="T120">
        <v>5</v>
      </c>
      <c r="U120">
        <v>7</v>
      </c>
      <c r="V120">
        <v>5.7564993018833263E-2</v>
      </c>
      <c r="W120">
        <v>2.1191099593896923E-2</v>
      </c>
    </row>
    <row r="121" spans="20:23" x14ac:dyDescent="0.25">
      <c r="T121">
        <v>6</v>
      </c>
      <c r="U121">
        <v>7</v>
      </c>
      <c r="V121">
        <v>7.5347556045590056E-2</v>
      </c>
      <c r="W121">
        <v>2.7737301449796845E-2</v>
      </c>
    </row>
    <row r="122" spans="20:23" x14ac:dyDescent="0.25">
      <c r="T122">
        <v>7</v>
      </c>
      <c r="U122">
        <v>7</v>
      </c>
      <c r="V122">
        <v>9.4605366034778482E-2</v>
      </c>
      <c r="W122">
        <v>3.4826578248765984E-2</v>
      </c>
    </row>
    <row r="123" spans="20:23" x14ac:dyDescent="0.25">
      <c r="T123">
        <v>8</v>
      </c>
      <c r="U123">
        <v>7</v>
      </c>
      <c r="V123">
        <v>0.11522337451023602</v>
      </c>
      <c r="W123">
        <v>4.2416577797420266E-2</v>
      </c>
    </row>
    <row r="124" spans="20:23" x14ac:dyDescent="0.25">
      <c r="T124">
        <v>9</v>
      </c>
      <c r="U124">
        <v>7</v>
      </c>
      <c r="V124">
        <v>0.13710933793541652</v>
      </c>
      <c r="W124">
        <v>5.0473342965439143E-2</v>
      </c>
    </row>
    <row r="125" spans="20:23" x14ac:dyDescent="0.25">
      <c r="T125">
        <v>10</v>
      </c>
      <c r="U125">
        <v>7</v>
      </c>
      <c r="V125">
        <v>0.16018717403281518</v>
      </c>
      <c r="W125">
        <v>5.8968865982207443E-2</v>
      </c>
    </row>
    <row r="126" spans="20:23" x14ac:dyDescent="0.25">
      <c r="T126">
        <v>11</v>
      </c>
      <c r="U126">
        <v>7</v>
      </c>
      <c r="V126">
        <v>0.18439274621910218</v>
      </c>
      <c r="W126">
        <v>6.7879536582984762E-2</v>
      </c>
    </row>
    <row r="127" spans="20:23" x14ac:dyDescent="0.25">
      <c r="T127">
        <v>12</v>
      </c>
      <c r="U127">
        <v>7</v>
      </c>
      <c r="V127">
        <v>0.20967104207366855</v>
      </c>
      <c r="W127">
        <v>7.7185103333298671E-2</v>
      </c>
    </row>
    <row r="128" spans="20:23" x14ac:dyDescent="0.25">
      <c r="T128">
        <v>13</v>
      </c>
      <c r="U128">
        <v>7</v>
      </c>
      <c r="V128">
        <v>0.23597420397882701</v>
      </c>
      <c r="W128">
        <v>8.6867948658829228E-2</v>
      </c>
    </row>
    <row r="129" spans="20:23" x14ac:dyDescent="0.25">
      <c r="T129">
        <v>14</v>
      </c>
      <c r="U129">
        <v>7</v>
      </c>
      <c r="V129">
        <v>0.26326010720600956</v>
      </c>
      <c r="W129">
        <v>9.6912565403722895E-2</v>
      </c>
    </row>
    <row r="130" spans="20:23" x14ac:dyDescent="0.25">
      <c r="T130">
        <v>15</v>
      </c>
      <c r="U130">
        <v>7</v>
      </c>
      <c r="V130">
        <v>0.29149130416513458</v>
      </c>
      <c r="W130">
        <v>0.10730516818263769</v>
      </c>
    </row>
    <row r="131" spans="20:23" x14ac:dyDescent="0.25">
      <c r="T131">
        <v>0</v>
      </c>
      <c r="U131">
        <v>8</v>
      </c>
      <c r="V131">
        <v>0</v>
      </c>
      <c r="W131">
        <v>0</v>
      </c>
    </row>
    <row r="132" spans="20:23" x14ac:dyDescent="0.25">
      <c r="T132">
        <v>1</v>
      </c>
      <c r="U132">
        <v>8</v>
      </c>
      <c r="V132">
        <v>4.7097427488159991E-3</v>
      </c>
      <c r="W132">
        <v>1.7337729480682992E-3</v>
      </c>
    </row>
    <row r="133" spans="20:23" x14ac:dyDescent="0.25">
      <c r="T133">
        <v>2</v>
      </c>
      <c r="U133">
        <v>8</v>
      </c>
      <c r="V133">
        <v>1.3105888523386962E-2</v>
      </c>
      <c r="W133">
        <v>4.8246021479537143E-3</v>
      </c>
    </row>
    <row r="134" spans="20:23" x14ac:dyDescent="0.25">
      <c r="T134">
        <v>3</v>
      </c>
      <c r="U134">
        <v>8</v>
      </c>
      <c r="V134">
        <v>2.3848679277794983E-2</v>
      </c>
      <c r="W134">
        <v>8.779289482295536E-3</v>
      </c>
    </row>
    <row r="135" spans="20:23" x14ac:dyDescent="0.25">
      <c r="T135">
        <v>4</v>
      </c>
      <c r="U135">
        <v>8</v>
      </c>
      <c r="V135">
        <v>3.6469999137559397E-2</v>
      </c>
      <c r="W135">
        <v>1.3425509904266109E-2</v>
      </c>
    </row>
    <row r="136" spans="20:23" x14ac:dyDescent="0.25">
      <c r="T136">
        <v>5</v>
      </c>
      <c r="U136">
        <v>8</v>
      </c>
      <c r="V136">
        <v>5.0701744534533286E-2</v>
      </c>
      <c r="W136">
        <v>1.8664567850535448E-2</v>
      </c>
    </row>
    <row r="137" spans="20:23" x14ac:dyDescent="0.25">
      <c r="T137">
        <v>6</v>
      </c>
      <c r="U137">
        <v>8</v>
      </c>
      <c r="V137">
        <v>6.6364162272634725E-2</v>
      </c>
      <c r="W137">
        <v>2.4430291717829896E-2</v>
      </c>
    </row>
    <row r="138" spans="20:23" x14ac:dyDescent="0.25">
      <c r="T138">
        <v>7</v>
      </c>
      <c r="U138">
        <v>8</v>
      </c>
      <c r="V138">
        <v>8.3325939060255788E-2</v>
      </c>
      <c r="W138">
        <v>3.0674341831382953E-2</v>
      </c>
    </row>
    <row r="139" spans="20:23" x14ac:dyDescent="0.25">
      <c r="T139">
        <v>8</v>
      </c>
      <c r="U139">
        <v>8</v>
      </c>
      <c r="V139">
        <v>0.10148574320009963</v>
      </c>
      <c r="W139">
        <v>3.7359415483822905E-2</v>
      </c>
    </row>
    <row r="140" spans="20:23" x14ac:dyDescent="0.25">
      <c r="T140">
        <v>9</v>
      </c>
      <c r="U140">
        <v>8</v>
      </c>
      <c r="V140">
        <v>0.12076232899092219</v>
      </c>
      <c r="W140">
        <v>4.4455604120378016E-2</v>
      </c>
    </row>
    <row r="141" spans="20:23" x14ac:dyDescent="0.25">
      <c r="T141">
        <v>10</v>
      </c>
      <c r="U141">
        <v>8</v>
      </c>
      <c r="V141">
        <v>0.14108868514695136</v>
      </c>
      <c r="W141">
        <v>5.193823922714353E-2</v>
      </c>
    </row>
    <row r="142" spans="20:23" x14ac:dyDescent="0.25">
      <c r="T142">
        <v>11</v>
      </c>
      <c r="U142">
        <v>8</v>
      </c>
      <c r="V142">
        <v>0.1624083218382962</v>
      </c>
      <c r="W142">
        <v>5.9786525498700595E-2</v>
      </c>
    </row>
    <row r="143" spans="20:23" x14ac:dyDescent="0.25">
      <c r="T143">
        <v>12</v>
      </c>
      <c r="U143">
        <v>8</v>
      </c>
      <c r="V143">
        <v>0.18467278555962877</v>
      </c>
      <c r="W143">
        <v>6.7982625999730859E-2</v>
      </c>
    </row>
    <row r="144" spans="20:23" x14ac:dyDescent="0.25">
      <c r="T144">
        <v>13</v>
      </c>
      <c r="U144">
        <v>8</v>
      </c>
      <c r="V144">
        <v>0.20783992456943462</v>
      </c>
      <c r="W144">
        <v>7.65110236302462E-2</v>
      </c>
    </row>
    <row r="145" spans="20:23" x14ac:dyDescent="0.25">
      <c r="T145">
        <v>14</v>
      </c>
      <c r="U145">
        <v>8</v>
      </c>
      <c r="V145">
        <v>0.23187263650541962</v>
      </c>
      <c r="W145">
        <v>8.5358060091803217E-2</v>
      </c>
    </row>
    <row r="146" spans="20:23" x14ac:dyDescent="0.25">
      <c r="T146">
        <v>15</v>
      </c>
      <c r="U146">
        <v>8</v>
      </c>
      <c r="V146">
        <v>0.25673793850688698</v>
      </c>
      <c r="W146">
        <v>9.4511593576520697E-2</v>
      </c>
    </row>
    <row r="147" spans="20:23" x14ac:dyDescent="0.25">
      <c r="T147">
        <v>0</v>
      </c>
      <c r="U147">
        <v>9</v>
      </c>
      <c r="V147">
        <v>0</v>
      </c>
      <c r="W147">
        <v>0</v>
      </c>
    </row>
    <row r="148" spans="20:23" x14ac:dyDescent="0.25">
      <c r="T148">
        <v>1</v>
      </c>
      <c r="U148">
        <v>9</v>
      </c>
      <c r="V148">
        <v>4.2107958010797839E-3</v>
      </c>
      <c r="W148">
        <v>1.5500982196080732E-3</v>
      </c>
    </row>
    <row r="149" spans="20:23" x14ac:dyDescent="0.25">
      <c r="T149">
        <v>2</v>
      </c>
      <c r="U149">
        <v>9</v>
      </c>
      <c r="V149">
        <v>1.1717459595340114E-2</v>
      </c>
      <c r="W149">
        <v>4.3134870734906237E-3</v>
      </c>
    </row>
    <row r="150" spans="20:23" x14ac:dyDescent="0.25">
      <c r="T150">
        <v>3</v>
      </c>
      <c r="U150">
        <v>9</v>
      </c>
      <c r="V150">
        <v>2.1322166394222495E-2</v>
      </c>
      <c r="W150">
        <v>7.8492175178373463E-3</v>
      </c>
    </row>
    <row r="151" spans="20:23" x14ac:dyDescent="0.25">
      <c r="T151">
        <v>4</v>
      </c>
      <c r="U151">
        <v>9</v>
      </c>
      <c r="V151">
        <v>3.260639220102296E-2</v>
      </c>
      <c r="W151">
        <v>1.200322050423043E-2</v>
      </c>
    </row>
    <row r="152" spans="20:23" x14ac:dyDescent="0.25">
      <c r="T152">
        <v>5</v>
      </c>
      <c r="U152">
        <v>9</v>
      </c>
      <c r="V152">
        <v>4.5330436157495844E-2</v>
      </c>
      <c r="W152">
        <v>1.6687256210280516E-2</v>
      </c>
    </row>
    <row r="153" spans="20:23" x14ac:dyDescent="0.25">
      <c r="T153">
        <v>6</v>
      </c>
      <c r="U153">
        <v>9</v>
      </c>
      <c r="V153">
        <v>5.9333587999055519E-2</v>
      </c>
      <c r="W153">
        <v>2.1842163207417963E-2</v>
      </c>
    </row>
    <row r="154" spans="20:23" x14ac:dyDescent="0.25">
      <c r="T154">
        <v>7</v>
      </c>
      <c r="U154">
        <v>9</v>
      </c>
      <c r="V154">
        <v>7.4498445675012986E-2</v>
      </c>
      <c r="W154">
        <v>2.7424722893186513E-2</v>
      </c>
    </row>
    <row r="155" spans="20:23" x14ac:dyDescent="0.25">
      <c r="T155">
        <v>8</v>
      </c>
      <c r="U155">
        <v>9</v>
      </c>
      <c r="V155">
        <v>9.0734412499253903E-2</v>
      </c>
      <c r="W155">
        <v>3.3401584383695712E-2</v>
      </c>
    </row>
    <row r="156" spans="20:23" x14ac:dyDescent="0.25">
      <c r="T156">
        <v>9</v>
      </c>
      <c r="U156">
        <v>9</v>
      </c>
      <c r="V156">
        <v>0.10796884988493817</v>
      </c>
      <c r="W156">
        <v>3.9746007616151054E-2</v>
      </c>
    </row>
    <row r="157" spans="20:23" x14ac:dyDescent="0.25">
      <c r="T157">
        <v>10</v>
      </c>
      <c r="U157">
        <v>9</v>
      </c>
      <c r="V157">
        <v>0.12614184567639125</v>
      </c>
      <c r="W157">
        <v>4.6435937442254889E-2</v>
      </c>
    </row>
    <row r="158" spans="20:23" x14ac:dyDescent="0.25">
      <c r="T158">
        <v>11</v>
      </c>
      <c r="U158">
        <v>9</v>
      </c>
      <c r="V158">
        <v>0.14520289453793037</v>
      </c>
      <c r="W158">
        <v>5.3452781597119303E-2</v>
      </c>
    </row>
    <row r="159" spans="20:23" x14ac:dyDescent="0.25">
      <c r="T159">
        <v>12</v>
      </c>
      <c r="U159">
        <v>9</v>
      </c>
      <c r="V159">
        <v>0.16510867609567018</v>
      </c>
      <c r="W159">
        <v>6.0780592778237899E-2</v>
      </c>
    </row>
    <row r="160" spans="20:23" x14ac:dyDescent="0.25">
      <c r="T160">
        <v>13</v>
      </c>
      <c r="U160">
        <v>9</v>
      </c>
      <c r="V160">
        <v>0.1858215041349609</v>
      </c>
      <c r="W160">
        <v>6.8405497756655401E-2</v>
      </c>
    </row>
    <row r="161" spans="20:23" x14ac:dyDescent="0.25">
      <c r="T161">
        <v>14</v>
      </c>
      <c r="U161">
        <v>9</v>
      </c>
      <c r="V161">
        <v>0.20730820689256818</v>
      </c>
      <c r="W161">
        <v>7.6315285184788112E-2</v>
      </c>
    </row>
    <row r="162" spans="20:23" x14ac:dyDescent="0.25">
      <c r="T162">
        <v>15</v>
      </c>
      <c r="U162">
        <v>9</v>
      </c>
      <c r="V162">
        <v>0.22953929568965398</v>
      </c>
      <c r="W162">
        <v>8.4499099549634527E-2</v>
      </c>
    </row>
    <row r="163" spans="20:23" x14ac:dyDescent="0.25">
      <c r="T163">
        <v>0</v>
      </c>
      <c r="U163">
        <v>10</v>
      </c>
      <c r="V163">
        <v>0</v>
      </c>
      <c r="W163">
        <v>0</v>
      </c>
    </row>
    <row r="164" spans="20:23" x14ac:dyDescent="0.25">
      <c r="T164">
        <v>1</v>
      </c>
      <c r="U164">
        <v>10</v>
      </c>
      <c r="V164">
        <v>3.8094341946016555E-3</v>
      </c>
      <c r="W164">
        <v>1.4023470720788476E-3</v>
      </c>
    </row>
    <row r="165" spans="20:23" x14ac:dyDescent="0.25">
      <c r="T165">
        <v>2</v>
      </c>
      <c r="U165">
        <v>10</v>
      </c>
      <c r="V165">
        <v>1.0600583206838377E-2</v>
      </c>
      <c r="W165">
        <v>3.9023372141469615E-3</v>
      </c>
    </row>
    <row r="166" spans="20:23" x14ac:dyDescent="0.25">
      <c r="T166">
        <v>3</v>
      </c>
      <c r="U166">
        <v>10</v>
      </c>
      <c r="V166">
        <v>1.9289795469138789E-2</v>
      </c>
      <c r="W166">
        <v>7.1010514462962826E-3</v>
      </c>
    </row>
    <row r="167" spans="20:23" x14ac:dyDescent="0.25">
      <c r="T167">
        <v>4</v>
      </c>
      <c r="U167">
        <v>10</v>
      </c>
      <c r="V167">
        <v>2.9498439554185379E-2</v>
      </c>
      <c r="W167">
        <v>1.0859106162885799E-2</v>
      </c>
    </row>
    <row r="168" spans="20:23" x14ac:dyDescent="0.25">
      <c r="T168">
        <v>5</v>
      </c>
      <c r="U168">
        <v>10</v>
      </c>
      <c r="V168">
        <v>4.1009662237786591E-2</v>
      </c>
      <c r="W168">
        <v>1.5096672321469563E-2</v>
      </c>
    </row>
    <row r="169" spans="20:23" x14ac:dyDescent="0.25">
      <c r="T169">
        <v>6</v>
      </c>
      <c r="U169">
        <v>10</v>
      </c>
      <c r="V169">
        <v>5.3678071720801045E-2</v>
      </c>
      <c r="W169">
        <v>1.9760227599987485E-2</v>
      </c>
    </row>
    <row r="170" spans="20:23" x14ac:dyDescent="0.25">
      <c r="T170">
        <v>7</v>
      </c>
      <c r="U170">
        <v>10</v>
      </c>
      <c r="V170">
        <v>6.7397456396791691E-2</v>
      </c>
      <c r="W170">
        <v>2.4810672875656754E-2</v>
      </c>
    </row>
    <row r="171" spans="20:23" x14ac:dyDescent="0.25">
      <c r="T171">
        <v>8</v>
      </c>
      <c r="U171">
        <v>10</v>
      </c>
      <c r="V171">
        <v>8.2085855009429498E-2</v>
      </c>
      <c r="W171">
        <v>3.021783618015729E-2</v>
      </c>
    </row>
    <row r="172" spans="20:23" x14ac:dyDescent="0.25">
      <c r="T172">
        <v>9</v>
      </c>
      <c r="U172">
        <v>10</v>
      </c>
      <c r="V172">
        <v>9.7677552684465443E-2</v>
      </c>
      <c r="W172">
        <v>3.5957526240773134E-2</v>
      </c>
    </row>
    <row r="173" spans="20:23" x14ac:dyDescent="0.25">
      <c r="T173">
        <v>10</v>
      </c>
      <c r="U173">
        <v>10</v>
      </c>
      <c r="V173">
        <v>0.11411834793000095</v>
      </c>
      <c r="W173">
        <v>4.2009790145973745E-2</v>
      </c>
    </row>
    <row r="174" spans="20:23" x14ac:dyDescent="0.25">
      <c r="T174">
        <v>11</v>
      </c>
      <c r="U174">
        <v>10</v>
      </c>
      <c r="V174">
        <v>0.13136254944162498</v>
      </c>
      <c r="W174">
        <v>4.8357807795007389E-2</v>
      </c>
    </row>
    <row r="175" spans="20:23" x14ac:dyDescent="0.25">
      <c r="T175">
        <v>12</v>
      </c>
      <c r="U175">
        <v>10</v>
      </c>
      <c r="V175">
        <v>0.14937096602570152</v>
      </c>
      <c r="W175">
        <v>5.4987151938881401E-2</v>
      </c>
    </row>
    <row r="176" spans="20:23" x14ac:dyDescent="0.25">
      <c r="T176">
        <v>13</v>
      </c>
      <c r="U176">
        <v>10</v>
      </c>
      <c r="V176">
        <v>0.16810950361509125</v>
      </c>
      <c r="W176">
        <v>6.1885271707102771E-2</v>
      </c>
    </row>
    <row r="177" spans="20:23" x14ac:dyDescent="0.25">
      <c r="T177">
        <v>14</v>
      </c>
      <c r="U177">
        <v>10</v>
      </c>
      <c r="V177">
        <v>0.18754815228883634</v>
      </c>
      <c r="W177">
        <v>6.9041119704536483E-2</v>
      </c>
    </row>
    <row r="178" spans="20:23" x14ac:dyDescent="0.25">
      <c r="T178">
        <v>15</v>
      </c>
      <c r="U178">
        <v>10</v>
      </c>
      <c r="V178">
        <v>0.20766023414878493</v>
      </c>
      <c r="W178">
        <v>7.6444875136163853E-2</v>
      </c>
    </row>
    <row r="179" spans="20:23" x14ac:dyDescent="0.25">
      <c r="T179">
        <v>0</v>
      </c>
      <c r="U179">
        <v>11</v>
      </c>
      <c r="V179">
        <v>0</v>
      </c>
      <c r="W179">
        <v>0</v>
      </c>
    </row>
    <row r="180" spans="20:23" x14ac:dyDescent="0.25">
      <c r="T180">
        <v>1</v>
      </c>
      <c r="U180">
        <v>11</v>
      </c>
      <c r="V180">
        <v>3.4794178519088866E-3</v>
      </c>
      <c r="W180">
        <v>1.2808598830970311E-3</v>
      </c>
    </row>
    <row r="181" spans="20:23" x14ac:dyDescent="0.25">
      <c r="T181">
        <v>2</v>
      </c>
      <c r="U181">
        <v>11</v>
      </c>
      <c r="V181">
        <v>9.6822406074862956E-3</v>
      </c>
      <c r="W181">
        <v>3.5642725595083189E-3</v>
      </c>
    </row>
    <row r="182" spans="20:23" x14ac:dyDescent="0.25">
      <c r="T182">
        <v>3</v>
      </c>
      <c r="U182">
        <v>11</v>
      </c>
      <c r="V182">
        <v>1.7618694873402577E-2</v>
      </c>
      <c r="W182">
        <v>6.4858779302658003E-3</v>
      </c>
    </row>
    <row r="183" spans="20:23" x14ac:dyDescent="0.25">
      <c r="T183">
        <v>4</v>
      </c>
      <c r="U183">
        <v>11</v>
      </c>
      <c r="V183">
        <v>2.6942950565660161E-2</v>
      </c>
      <c r="W183">
        <v>9.918367376567757E-3</v>
      </c>
    </row>
    <row r="184" spans="20:23" x14ac:dyDescent="0.25">
      <c r="T184">
        <v>5</v>
      </c>
      <c r="U184">
        <v>11</v>
      </c>
      <c r="V184">
        <v>3.7456940742831013E-2</v>
      </c>
      <c r="W184">
        <v>1.3788827551917527E-2</v>
      </c>
    </row>
    <row r="185" spans="20:23" x14ac:dyDescent="0.25">
      <c r="T185">
        <v>6</v>
      </c>
      <c r="U185">
        <v>11</v>
      </c>
      <c r="V185">
        <v>4.9027869090394062E-2</v>
      </c>
      <c r="W185">
        <v>1.804837284408551E-2</v>
      </c>
    </row>
    <row r="186" spans="20:23" x14ac:dyDescent="0.25">
      <c r="T186">
        <v>7</v>
      </c>
      <c r="U186">
        <v>11</v>
      </c>
      <c r="V186">
        <v>6.155872525441259E-2</v>
      </c>
      <c r="W186">
        <v>2.2661291339213924E-2</v>
      </c>
    </row>
    <row r="187" spans="20:23" x14ac:dyDescent="0.25">
      <c r="T187">
        <v>8</v>
      </c>
      <c r="U187">
        <v>11</v>
      </c>
      <c r="V187">
        <v>7.4974648391026799E-2</v>
      </c>
      <c r="W187">
        <v>2.7600024906662555E-2</v>
      </c>
    </row>
    <row r="188" spans="20:23" x14ac:dyDescent="0.25">
      <c r="T188">
        <v>9</v>
      </c>
      <c r="U188">
        <v>11</v>
      </c>
      <c r="V188">
        <v>8.9215616592804386E-2</v>
      </c>
      <c r="W188">
        <v>3.2842477995793581E-2</v>
      </c>
    </row>
    <row r="189" spans="20:23" x14ac:dyDescent="0.25">
      <c r="T189">
        <v>10</v>
      </c>
      <c r="U189">
        <v>11</v>
      </c>
      <c r="V189">
        <v>0.10423212391506217</v>
      </c>
      <c r="W189">
        <v>3.8370426242297112E-2</v>
      </c>
    </row>
    <row r="190" spans="20:23" x14ac:dyDescent="0.25">
      <c r="T190">
        <v>11</v>
      </c>
      <c r="U190">
        <v>11</v>
      </c>
      <c r="V190">
        <v>0.11998243735176216</v>
      </c>
      <c r="W190">
        <v>4.4168506693084378E-2</v>
      </c>
    </row>
    <row r="191" spans="20:23" x14ac:dyDescent="0.25">
      <c r="T191">
        <v>12</v>
      </c>
      <c r="U191">
        <v>11</v>
      </c>
      <c r="V191">
        <v>0.13643076089441364</v>
      </c>
      <c r="W191">
        <v>5.0223541950900376E-2</v>
      </c>
    </row>
    <row r="192" spans="20:23" x14ac:dyDescent="0.25">
      <c r="T192">
        <v>13</v>
      </c>
      <c r="U192">
        <v>11</v>
      </c>
      <c r="V192">
        <v>0.15354595409018587</v>
      </c>
      <c r="W192">
        <v>5.6524068443828769E-2</v>
      </c>
    </row>
    <row r="193" spans="20:23" x14ac:dyDescent="0.25">
      <c r="T193">
        <v>14</v>
      </c>
      <c r="U193">
        <v>11</v>
      </c>
      <c r="V193">
        <v>0.17130060681742273</v>
      </c>
      <c r="W193">
        <v>6.3059995827244544E-2</v>
      </c>
    </row>
    <row r="194" spans="20:23" x14ac:dyDescent="0.25">
      <c r="T194">
        <v>15</v>
      </c>
      <c r="U194">
        <v>11</v>
      </c>
      <c r="V194">
        <v>0.18967035231971391</v>
      </c>
      <c r="W194">
        <v>6.9822354094642158E-2</v>
      </c>
    </row>
    <row r="195" spans="20:23" x14ac:dyDescent="0.25">
      <c r="T195">
        <v>0</v>
      </c>
      <c r="U195">
        <v>12</v>
      </c>
      <c r="V195">
        <v>0</v>
      </c>
      <c r="W195">
        <v>0</v>
      </c>
    </row>
    <row r="196" spans="20:23" x14ac:dyDescent="0.25">
      <c r="T196">
        <v>1</v>
      </c>
      <c r="U196">
        <v>12</v>
      </c>
      <c r="V196">
        <v>3.2031649382974038E-3</v>
      </c>
      <c r="W196">
        <v>1.1791643438735658E-3</v>
      </c>
    </row>
    <row r="197" spans="20:23" x14ac:dyDescent="0.25">
      <c r="T197">
        <v>2</v>
      </c>
      <c r="U197">
        <v>12</v>
      </c>
      <c r="V197">
        <v>8.913506499670508E-3</v>
      </c>
      <c r="W197">
        <v>3.2812824958315875E-3</v>
      </c>
    </row>
    <row r="198" spans="20:23" x14ac:dyDescent="0.25">
      <c r="T198">
        <v>3</v>
      </c>
      <c r="U198">
        <v>12</v>
      </c>
      <c r="V198">
        <v>1.6219835638907675E-2</v>
      </c>
      <c r="W198">
        <v>5.9709232016805598E-3</v>
      </c>
    </row>
    <row r="199" spans="20:23" x14ac:dyDescent="0.25">
      <c r="T199">
        <v>4</v>
      </c>
      <c r="U199">
        <v>12</v>
      </c>
      <c r="V199">
        <v>2.4803779902104951E-2</v>
      </c>
      <c r="W199">
        <v>9.130885676276207E-3</v>
      </c>
    </row>
    <row r="200" spans="20:23" x14ac:dyDescent="0.25">
      <c r="T200">
        <v>5</v>
      </c>
      <c r="U200">
        <v>12</v>
      </c>
      <c r="V200">
        <v>3.4482998130706169E-2</v>
      </c>
      <c r="W200">
        <v>1.2694045623264212E-2</v>
      </c>
    </row>
    <row r="201" spans="20:23" x14ac:dyDescent="0.25">
      <c r="T201">
        <v>6</v>
      </c>
      <c r="U201">
        <v>12</v>
      </c>
      <c r="V201">
        <v>4.5135237546599136E-2</v>
      </c>
      <c r="W201">
        <v>1.6615398767289961E-2</v>
      </c>
    </row>
    <row r="202" spans="20:23" x14ac:dyDescent="0.25">
      <c r="T202">
        <v>7</v>
      </c>
      <c r="U202">
        <v>12</v>
      </c>
      <c r="V202">
        <v>5.6671190059290652E-2</v>
      </c>
      <c r="W202">
        <v>2.0862068588424699E-2</v>
      </c>
    </row>
    <row r="203" spans="20:23" x14ac:dyDescent="0.25">
      <c r="T203">
        <v>8</v>
      </c>
      <c r="U203">
        <v>12</v>
      </c>
      <c r="V203">
        <v>6.9021938499153779E-2</v>
      </c>
      <c r="W203">
        <v>2.5408684969715298E-2</v>
      </c>
    </row>
    <row r="204" spans="20:23" x14ac:dyDescent="0.25">
      <c r="T204">
        <v>9</v>
      </c>
      <c r="U204">
        <v>12</v>
      </c>
      <c r="V204">
        <v>8.2132226476298031E-2</v>
      </c>
      <c r="W204">
        <v>3.0234906665554638E-2</v>
      </c>
    </row>
    <row r="205" spans="20:23" x14ac:dyDescent="0.25">
      <c r="T205">
        <v>10</v>
      </c>
      <c r="U205">
        <v>12</v>
      </c>
      <c r="V205">
        <v>9.5956478635018633E-2</v>
      </c>
      <c r="W205">
        <v>3.5323956258781354E-2</v>
      </c>
    </row>
    <row r="206" spans="20:23" x14ac:dyDescent="0.25">
      <c r="T206">
        <v>11</v>
      </c>
      <c r="U206">
        <v>12</v>
      </c>
      <c r="V206">
        <v>0.11045627541566497</v>
      </c>
      <c r="W206">
        <v>4.0661690557983222E-2</v>
      </c>
    </row>
    <row r="207" spans="20:23" x14ac:dyDescent="0.25">
      <c r="T207">
        <v>12</v>
      </c>
      <c r="U207">
        <v>12</v>
      </c>
      <c r="V207">
        <v>0.12559866288047833</v>
      </c>
      <c r="W207">
        <v>4.6235978402528848E-2</v>
      </c>
    </row>
    <row r="208" spans="20:23" x14ac:dyDescent="0.25">
      <c r="T208">
        <v>13</v>
      </c>
      <c r="U208">
        <v>12</v>
      </c>
      <c r="V208">
        <v>0.14135497301345271</v>
      </c>
      <c r="W208">
        <v>5.2036266385729828E-2</v>
      </c>
    </row>
    <row r="209" spans="20:23" x14ac:dyDescent="0.25">
      <c r="T209">
        <v>14</v>
      </c>
      <c r="U209">
        <v>12</v>
      </c>
      <c r="V209">
        <v>0.1576999719552529</v>
      </c>
      <c r="W209">
        <v>5.8053265299019156E-2</v>
      </c>
    </row>
    <row r="210" spans="20:23" x14ac:dyDescent="0.25">
      <c r="T210">
        <v>15</v>
      </c>
      <c r="U210">
        <v>12</v>
      </c>
      <c r="V210">
        <v>0.17461122757984077</v>
      </c>
      <c r="W210">
        <v>6.4278717321244627E-2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12E-9A5E-4B5D-AB13-1C36F6DCF2C4}">
  <dimension ref="A1:Q63"/>
  <sheetViews>
    <sheetView topLeftCell="A9" zoomScale="80" zoomScaleNormal="80" workbookViewId="0">
      <selection activeCell="C32" sqref="C32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5.425781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3" spans="1:17" x14ac:dyDescent="0.25">
      <c r="B3" t="s">
        <v>214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</row>
    <row r="4" spans="1:17" x14ac:dyDescent="0.25">
      <c r="A4" t="s">
        <v>186</v>
      </c>
      <c r="B4" t="s">
        <v>172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175</v>
      </c>
    </row>
    <row r="8" spans="1:17" x14ac:dyDescent="0.25">
      <c r="A8" t="s">
        <v>185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175</v>
      </c>
      <c r="N10">
        <v>1</v>
      </c>
    </row>
    <row r="12" spans="1:17" x14ac:dyDescent="0.25">
      <c r="A12" t="s">
        <v>158</v>
      </c>
      <c r="B12" t="s">
        <v>75</v>
      </c>
      <c r="C12" s="124">
        <v>0</v>
      </c>
      <c r="D12" s="124">
        <f>IF(C14&gt;='Input params'!$D$4,0,C13+C12)</f>
        <v>5.8193229362106969E-2</v>
      </c>
      <c r="E12" s="124">
        <f>IF(D14&gt;='Input params'!$D$4,0,D13+D12)</f>
        <v>0.15628498881461134</v>
      </c>
      <c r="F12" s="124">
        <f>IF(E14&gt;='Input params'!$D$4,0,E13+E12)</f>
        <v>0.27854309026765833</v>
      </c>
      <c r="G12" s="124">
        <f>IF(F14&gt;='Input params'!$D$4,0,F13+F12)</f>
        <v>0.41972232846537527</v>
      </c>
      <c r="H12" s="124">
        <f>IF(G14&gt;='Input params'!$D$4,0,G13+G12)</f>
        <v>0</v>
      </c>
      <c r="I12" s="124">
        <f>IF(H14&gt;='Input params'!$D$4,0,H13+H12)</f>
        <v>0</v>
      </c>
      <c r="J12" s="124">
        <f>IF(I14&gt;='Input params'!$D$4,0,I13+I12)</f>
        <v>0</v>
      </c>
      <c r="K12" s="124">
        <f>IF(J14&gt;='Input params'!$D$4,0,J13+J12)</f>
        <v>0</v>
      </c>
      <c r="L12" s="124">
        <f>IF(K14&gt;='Input params'!$D$4,0,K13+K12)</f>
        <v>0</v>
      </c>
      <c r="M12" s="124">
        <f>IF(L14&gt;='Input params'!$D$4,0,L13+L12)</f>
        <v>0</v>
      </c>
      <c r="N12" s="124">
        <f>IF(M14&gt;='Input params'!$D$4,0,M13+M12)</f>
        <v>0</v>
      </c>
      <c r="O12" s="124">
        <f>IF(N14&gt;='Input params'!$D$4,0,N13+N12)</f>
        <v>0</v>
      </c>
      <c r="P12" s="124">
        <f>IF(O14&gt;='Input params'!$D$4,0,O13+O12)</f>
        <v>0</v>
      </c>
      <c r="Q12" s="124">
        <f>IF(P14&gt;='Input params'!$D$4,0,P13+P12)</f>
        <v>0</v>
      </c>
    </row>
    <row r="13" spans="1:17" x14ac:dyDescent="0.25">
      <c r="B13" t="s">
        <v>52</v>
      </c>
      <c r="C13" s="124">
        <f>C38*'Sensitivity analysis'!$C$17</f>
        <v>5.8193229362106969E-2</v>
      </c>
      <c r="D13" s="124">
        <f>D38*'Sensitivity analysis'!$C$17</f>
        <v>9.8091759452504354E-2</v>
      </c>
      <c r="E13" s="124">
        <f>E38*'Sensitivity analysis'!$C$17</f>
        <v>0.12225810145304702</v>
      </c>
      <c r="F13" s="124">
        <f>F38*'Sensitivity analysis'!$C$17</f>
        <v>0.14117923819771697</v>
      </c>
      <c r="G13" s="124">
        <f>G38*'Sensitivity analysis'!$C$17</f>
        <v>0.15715523866449521</v>
      </c>
      <c r="H13" s="124">
        <f>H38*'Sensitivity analysis'!$C$17</f>
        <v>0.17118374900692632</v>
      </c>
      <c r="I13" s="124">
        <f>I38*'Sensitivity analysis'!$C$17</f>
        <v>0.18380477878583179</v>
      </c>
      <c r="J13" s="124">
        <f>J38*'Sensitivity analysis'!$C$17</f>
        <v>0.19534922081936712</v>
      </c>
      <c r="K13" s="124">
        <f>K38*'Sensitivity analysis'!$C$17</f>
        <v>0.20603691972129012</v>
      </c>
      <c r="L13" s="124">
        <f>L38*'Sensitivity analysis'!$C$17</f>
        <v>0.21602257046454554</v>
      </c>
      <c r="M13" s="124">
        <f>M38*'Sensitivity analysis'!$C$17</f>
        <v>0.22541980852717902</v>
      </c>
      <c r="N13" s="124">
        <f>N38*'Sensitivity analysis'!$C$17</f>
        <v>0.23431495086067999</v>
      </c>
      <c r="O13" s="124">
        <f>O38*'Sensitivity analysis'!$C$17</f>
        <v>0.24277534775326559</v>
      </c>
      <c r="P13" s="124">
        <f>P38*'Sensitivity analysis'!$C$17</f>
        <v>0.25085472075296555</v>
      </c>
      <c r="Q13" s="124">
        <f>Q38*'Sensitivity analysis'!$C$17</f>
        <v>0.25859671645140148</v>
      </c>
    </row>
    <row r="14" spans="1:17" x14ac:dyDescent="0.25">
      <c r="B14" t="s">
        <v>53</v>
      </c>
      <c r="C14" s="124">
        <f>VLOOKUP(C12+C13,regression_corr!$A$1:B14,regression_corr!B16)*C39</f>
        <v>2.1740717831405919E-2</v>
      </c>
      <c r="D14" s="124">
        <f>VLOOKUP(D12+D13,regression_corr!$A$1:C14,regression_corr!C16)*D39</f>
        <v>0.10703495379030467</v>
      </c>
      <c r="E14" s="124">
        <f>VLOOKUP(E12+E13,regression_corr!$A$1:D14,regression_corr!D16)*E39</f>
        <v>0.24680284551088197</v>
      </c>
      <c r="F14" s="124">
        <f>VLOOKUP(F12+F13,regression_corr!$A$1:E14,regression_corr!E16)*F39</f>
        <v>0.43840962745426038</v>
      </c>
      <c r="G14" s="124">
        <f>VLOOKUP(G12+G13,regression_corr!$A$1:F14,regression_corr!F16)*G39</f>
        <v>0.67855539473640514</v>
      </c>
      <c r="H14" s="124">
        <f>VLOOKUP(H12+H13,regression_corr!$A$1:G14,regression_corr!G16)*H39</f>
        <v>0.96390180681933779</v>
      </c>
      <c r="I14" s="124">
        <f>VLOOKUP(I12+I13,regression_corr!$A$1:H14,regression_corr!H16)*I39</f>
        <v>1.291094334486981</v>
      </c>
      <c r="J14" s="124">
        <f>VLOOKUP(J12+J13,regression_corr!$A$1:I14,regression_corr!I16)*J39</f>
        <v>1.6567810952944702</v>
      </c>
      <c r="K14" s="124">
        <f>VLOOKUP(K12+K13,regression_corr!$A$1:J14,regression_corr!J16)*K39</f>
        <v>2.0576340039345578</v>
      </c>
      <c r="L14" s="124">
        <f>VLOOKUP(L12+L13,regression_corr!$A$1:K14,regression_corr!K16)*L39</f>
        <v>2.4903699511497259</v>
      </c>
      <c r="M14" s="124">
        <f>VLOOKUP(M12+M13,regression_corr!$A$1:L14,regression_corr!L16)*M39</f>
        <v>2.9517706135603854</v>
      </c>
      <c r="N14" s="124">
        <f>VLOOKUP(N12+N13,regression_corr!$A$1:M14,regression_corr!M16)*N39</f>
        <v>3.4387002479314783</v>
      </c>
      <c r="O14" s="124">
        <f>VLOOKUP(O12+O13,regression_corr!$A$1:N14,regression_corr!N16)*O39</f>
        <v>3.9481212207693899</v>
      </c>
      <c r="P14" s="124">
        <f>VLOOKUP(P12+P13,regression_corr!$A$1:O14,regression_corr!O16)*P39</f>
        <v>4.4771072264310199</v>
      </c>
      <c r="Q14" s="124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179</v>
      </c>
      <c r="C17" s="55">
        <f>SUM(C13:C14)*'Input params'!$D$17</f>
        <v>3625.1244061466</v>
      </c>
      <c r="D17" s="55">
        <f>SUM(D13:D14)*'Input params'!$D$17</f>
        <v>9302.8041356312533</v>
      </c>
      <c r="E17" s="55">
        <f>SUM(E13:E14)*'Input params'!$D$17</f>
        <v>16737.467536234624</v>
      </c>
      <c r="F17" s="55">
        <f>SUM(F13:F14)*'Input params'!$D$17</f>
        <v>26285.22444061565</v>
      </c>
      <c r="G17" s="55">
        <f>SUM(G13:G14)*'Input params'!$D$17</f>
        <v>37900.730790680929</v>
      </c>
      <c r="H17" s="55">
        <f>SUM(H13:H14)*'Input params'!$D$17</f>
        <v>51477.832585054814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162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>SUM(C17:C18)</f>
        <v>10692.1244061466</v>
      </c>
      <c r="D19" s="55">
        <f t="shared" ref="D19:Q19" si="0">SUM(D17:D18)</f>
        <v>16369.804135631253</v>
      </c>
      <c r="E19" s="55">
        <f t="shared" si="0"/>
        <v>23804.467536234624</v>
      </c>
      <c r="F19" s="55">
        <f t="shared" si="0"/>
        <v>33352.224440615653</v>
      </c>
      <c r="G19" s="55">
        <f t="shared" si="0"/>
        <v>44967.730790680929</v>
      </c>
      <c r="H19" s="55">
        <f t="shared" si="0"/>
        <v>58544.832585054814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4">
        <f>C13*'Input params'!$D$19</f>
        <v>0.23277291744842787</v>
      </c>
      <c r="D21" s="64">
        <f>D13*'Input params'!$D$19</f>
        <v>0.39236703781001742</v>
      </c>
      <c r="E21" s="64">
        <f>E13*'Input params'!$D$19</f>
        <v>0.4890324058121881</v>
      </c>
      <c r="F21" s="64">
        <f>F13*'Input params'!$D$19</f>
        <v>0.56471695279086787</v>
      </c>
      <c r="G21" s="64">
        <f>G13*'Input params'!$D$19</f>
        <v>0.62862095465798085</v>
      </c>
      <c r="H21" s="64">
        <f>H13*'Input params'!$D$19</f>
        <v>0.68473499602770527</v>
      </c>
      <c r="I21" s="64">
        <f>I13*'Input params'!$D$19</f>
        <v>0.73521911514332716</v>
      </c>
      <c r="J21" s="64">
        <f>J13*'Input params'!$D$19</f>
        <v>0.78139688327746848</v>
      </c>
      <c r="K21" s="64">
        <f>K13*'Input params'!$D$19</f>
        <v>0.8241476788851605</v>
      </c>
      <c r="L21" s="64">
        <f>L13*'Input params'!$D$19</f>
        <v>0.86409028185818215</v>
      </c>
      <c r="M21" s="64">
        <f>M13*'Input params'!$D$19</f>
        <v>0.90167923410871609</v>
      </c>
      <c r="N21" s="64">
        <f>N13*'Input params'!$D$19</f>
        <v>0.93725980344271997</v>
      </c>
      <c r="O21" s="64">
        <f>O13*'Input params'!$D$19</f>
        <v>0.97110139101306236</v>
      </c>
      <c r="P21" s="64">
        <f>P13*'Input params'!$D$19</f>
        <v>1.0034188830118622</v>
      </c>
      <c r="Q21" s="64">
        <f>Q13*'Input params'!$D$19</f>
        <v>1.0343868658056059</v>
      </c>
    </row>
    <row r="22" spans="1:17" x14ac:dyDescent="0.25">
      <c r="B22" t="s">
        <v>78</v>
      </c>
      <c r="C22" s="64">
        <f>C21*'Input params'!$D$11/24</f>
        <v>9.9645940688539325E-2</v>
      </c>
      <c r="D22" s="64">
        <f>D21*'Input params'!$D$11/24</f>
        <v>0.16796534152826084</v>
      </c>
      <c r="E22" s="64">
        <f>E21*'Input params'!$D$11/24</f>
        <v>0.20934606413192983</v>
      </c>
      <c r="F22" s="64">
        <f>F21*'Input params'!$D$11/24</f>
        <v>0.24174527088650163</v>
      </c>
      <c r="G22" s="64">
        <f>G21*'Input params'!$D$11/24</f>
        <v>0.26910143606934112</v>
      </c>
      <c r="H22" s="64">
        <f>H21*'Input params'!$D$11/24</f>
        <v>0.29312285788857245</v>
      </c>
      <c r="I22" s="64">
        <f>I21*'Input params'!$D$11/24</f>
        <v>0.31473421024971193</v>
      </c>
      <c r="J22" s="64">
        <f>J21*'Input params'!$D$11/24</f>
        <v>0.33450209044412177</v>
      </c>
      <c r="K22" s="64">
        <f>K21*'Input params'!$D$11/24</f>
        <v>0.35280294472823653</v>
      </c>
      <c r="L22" s="64">
        <f>L21*'Input params'!$D$11/24</f>
        <v>0.36990166175435873</v>
      </c>
      <c r="M22" s="64">
        <f>M21*'Input params'!$D$11/24</f>
        <v>0.385992822820512</v>
      </c>
      <c r="N22" s="64">
        <f>N21*'Input params'!$D$11/24</f>
        <v>0.40122423092582188</v>
      </c>
      <c r="O22" s="64">
        <f>O21*'Input params'!$D$11/24</f>
        <v>0.41571121190627669</v>
      </c>
      <c r="P22" s="64">
        <f>P21*'Input params'!$D$11/24</f>
        <v>0.4295457547139821</v>
      </c>
      <c r="Q22" s="64">
        <f>Q21*'Input params'!$D$11/24</f>
        <v>0.44280259666335864</v>
      </c>
    </row>
    <row r="23" spans="1:17" x14ac:dyDescent="0.25">
      <c r="B23" t="s">
        <v>83</v>
      </c>
      <c r="C23" s="109">
        <f>C22*'Input params'!$D$52</f>
        <v>4193.4599095602143</v>
      </c>
      <c r="D23" s="109">
        <f>D22*'Input params'!$D$52</f>
        <v>7068.5862467387187</v>
      </c>
      <c r="E23" s="109">
        <f>E22*'Input params'!$D$52</f>
        <v>8810.036024502484</v>
      </c>
      <c r="F23" s="109">
        <f>F22*'Input params'!$D$52</f>
        <v>10173.511281879182</v>
      </c>
      <c r="G23" s="109">
        <f>G22*'Input params'!$D$52</f>
        <v>11324.757194967726</v>
      </c>
      <c r="H23" s="109">
        <f>H22*'Input params'!$D$52</f>
        <v>12335.665102239529</v>
      </c>
      <c r="I23" s="109">
        <f>I22*'Input params'!$D$52</f>
        <v>13245.148610464779</v>
      </c>
      <c r="J23" s="109">
        <f>J22*'Input params'!$D$52</f>
        <v>14077.052173414244</v>
      </c>
      <c r="K23" s="109">
        <f>K22*'Input params'!$D$52</f>
        <v>14847.218004765216</v>
      </c>
      <c r="L23" s="109">
        <f>L22*'Input params'!$D$52</f>
        <v>15566.793572605733</v>
      </c>
      <c r="M23" s="109">
        <f>M22*'Input params'!$D$52</f>
        <v>16243.967558449302</v>
      </c>
      <c r="N23" s="109">
        <f>N22*'Input params'!$D$52</f>
        <v>16884.96004458992</v>
      </c>
      <c r="O23" s="109">
        <f>O22*'Input params'!$D$52</f>
        <v>17494.624357378987</v>
      </c>
      <c r="P23" s="109">
        <f>P22*'Input params'!$D$52</f>
        <v>18076.831723081341</v>
      </c>
      <c r="Q23" s="109">
        <f>Q22*'Input params'!$D$52</f>
        <v>18634.727356942123</v>
      </c>
    </row>
    <row r="25" spans="1:17" x14ac:dyDescent="0.25">
      <c r="A25" t="s">
        <v>79</v>
      </c>
      <c r="B25" t="s">
        <v>88</v>
      </c>
      <c r="C25" s="64">
        <f>C14*'Input params'!$D$18</f>
        <v>2.71758972892574E-2</v>
      </c>
      <c r="D25" s="64">
        <f>D14*'Input params'!$D$18</f>
        <v>0.13379369223788085</v>
      </c>
      <c r="E25" s="64">
        <f>E14*'Input params'!$D$18</f>
        <v>0.30850355688860248</v>
      </c>
      <c r="F25" s="64">
        <f>F14*'Input params'!$D$18</f>
        <v>0.54801203431782541</v>
      </c>
      <c r="G25" s="64">
        <f>G14*'Input params'!$D$18</f>
        <v>0.84819424342050642</v>
      </c>
      <c r="H25" s="64">
        <f>H14*'Input params'!$D$18</f>
        <v>1.2048772585241723</v>
      </c>
      <c r="I25" s="64">
        <f>I14*'Input params'!$D$18</f>
        <v>1.6138679181087263</v>
      </c>
      <c r="J25" s="64">
        <f>J14*'Input params'!$D$18</f>
        <v>2.0709763691180876</v>
      </c>
      <c r="K25" s="64">
        <f>K14*'Input params'!$D$18</f>
        <v>2.5720425049181972</v>
      </c>
      <c r="L25" s="64">
        <f>L14*'Input params'!$D$18</f>
        <v>3.1129624389371573</v>
      </c>
      <c r="M25" s="64">
        <f>M14*'Input params'!$D$18</f>
        <v>3.6897132669504815</v>
      </c>
      <c r="N25" s="64">
        <f>N14*'Input params'!$D$18</f>
        <v>4.2983753099143476</v>
      </c>
      <c r="O25" s="64">
        <f>O14*'Input params'!$D$18</f>
        <v>4.9351515259617376</v>
      </c>
      <c r="P25" s="64">
        <f>P14*'Input params'!$D$18</f>
        <v>5.5963840330387749</v>
      </c>
      <c r="Q25" s="64">
        <f>Q14*'Input params'!$D$18</f>
        <v>6.2785678139155054</v>
      </c>
    </row>
    <row r="26" spans="1:17" x14ac:dyDescent="0.25">
      <c r="B26" t="s">
        <v>80</v>
      </c>
      <c r="C26" s="64">
        <f>C25*'Input params'!$D$7/365/24</f>
        <v>1.1633517675195805E-2</v>
      </c>
      <c r="D26" s="64">
        <f>D25*'Input params'!$D$7/365/24</f>
        <v>5.7274697019640775E-2</v>
      </c>
      <c r="E26" s="64">
        <f>E25*'Input params'!$D$7/365/24</f>
        <v>0.13206487880505244</v>
      </c>
      <c r="F26" s="64">
        <f>F25*'Input params'!$D$7/365/24</f>
        <v>0.23459419277304169</v>
      </c>
      <c r="G26" s="64">
        <f>G25*'Input params'!$D$7/365/24</f>
        <v>0.36309685077932635</v>
      </c>
      <c r="H26" s="64">
        <f>H25*'Input params'!$D$7/365/24</f>
        <v>0.51578649765589568</v>
      </c>
      <c r="I26" s="64">
        <f>I25*'Input params'!$D$7/365/24</f>
        <v>0.69086811562873551</v>
      </c>
      <c r="J26" s="64">
        <f>J25*'Input params'!$D$7/365/24</f>
        <v>0.88654810321835942</v>
      </c>
      <c r="K26" s="64">
        <f>K25*'Input params'!$D$7/365/24</f>
        <v>1.1010455928588174</v>
      </c>
      <c r="L26" s="64">
        <f>L25*'Input params'!$D$7/365/24</f>
        <v>1.3326037837915912</v>
      </c>
      <c r="M26" s="64">
        <f>M25*'Input params'!$D$7/365/24</f>
        <v>1.5795005423589388</v>
      </c>
      <c r="N26" s="64">
        <f>N25*'Input params'!$D$7/365/24</f>
        <v>1.8400579237647037</v>
      </c>
      <c r="O26" s="64">
        <f>O25*'Input params'!$D$7/365/24</f>
        <v>2.1126504820041685</v>
      </c>
      <c r="P26" s="64">
        <f>P25*'Input params'!$D$7/365/24</f>
        <v>2.3957123429104343</v>
      </c>
      <c r="Q26" s="64">
        <f>Q25*'Input params'!$D$7/365/24</f>
        <v>2.6877430710254728</v>
      </c>
    </row>
    <row r="27" spans="1:17" x14ac:dyDescent="0.25">
      <c r="B27" t="s">
        <v>82</v>
      </c>
      <c r="C27" s="64">
        <f>C25*'Input params'!$D$9/365/24</f>
        <v>2.6369306730443826E-2</v>
      </c>
      <c r="D27" s="64">
        <f>D25*'Input params'!$D$9/365/24</f>
        <v>0.12982264657785245</v>
      </c>
      <c r="E27" s="64">
        <f>E25*'Input params'!$D$9/365/24</f>
        <v>0.2993470586247855</v>
      </c>
      <c r="F27" s="64">
        <f>F25*'Input params'!$D$9/365/24</f>
        <v>0.53174683695222791</v>
      </c>
      <c r="G27" s="64">
        <f>G25*'Input params'!$D$9/365/24</f>
        <v>0.82301952843313975</v>
      </c>
      <c r="H27" s="64">
        <f>H25*'Input params'!$D$9/365/24</f>
        <v>1.1691160613533633</v>
      </c>
      <c r="I27" s="64">
        <f>I25*'Input params'!$D$9/365/24</f>
        <v>1.5659677287584672</v>
      </c>
      <c r="J27" s="64">
        <f>J25*'Input params'!$D$9/365/24</f>
        <v>2.0095090339616148</v>
      </c>
      <c r="K27" s="64">
        <f>K25*'Input params'!$D$9/365/24</f>
        <v>2.4957033438133189</v>
      </c>
      <c r="L27" s="64">
        <f>L25*'Input params'!$D$9/365/24</f>
        <v>3.0205685765942736</v>
      </c>
      <c r="M27" s="64">
        <f>M25*'Input params'!$D$9/365/24</f>
        <v>3.5802012293469283</v>
      </c>
      <c r="N27" s="64">
        <f>N25*'Input params'!$D$9/365/24</f>
        <v>4.1707979605333287</v>
      </c>
      <c r="O27" s="64">
        <f>O25*'Input params'!$D$9/365/24</f>
        <v>4.7886744258761151</v>
      </c>
      <c r="P27" s="64">
        <f>P25*'Input params'!$D$9/365/24</f>
        <v>5.4302813105969845</v>
      </c>
      <c r="Q27" s="64">
        <f>Q25*'Input params'!$D$9/365/24</f>
        <v>6.0922176276577389</v>
      </c>
    </row>
    <row r="28" spans="1:17" x14ac:dyDescent="0.25">
      <c r="B28" t="s">
        <v>81</v>
      </c>
      <c r="C28" s="64">
        <f>C25*'Input params'!$D$10/365/24</f>
        <v>2.6369306730443826E-2</v>
      </c>
      <c r="D28" s="64">
        <f>D25*'Input params'!$D$10/365/24</f>
        <v>0.12982264657785245</v>
      </c>
      <c r="E28" s="64">
        <f>E25*'Input params'!$D$10/365/24</f>
        <v>0.2993470586247855</v>
      </c>
      <c r="F28" s="64">
        <f>F25*'Input params'!$D$10/365/24</f>
        <v>0.53174683695222791</v>
      </c>
      <c r="G28" s="64">
        <f>G25*'Input params'!$D$10/365/24</f>
        <v>0.82301952843313975</v>
      </c>
      <c r="H28" s="64">
        <f>H25*'Input params'!$D$10/365/24</f>
        <v>1.1691160613533633</v>
      </c>
      <c r="I28" s="64">
        <f>I25*'Input params'!$D$10/365/24</f>
        <v>1.5659677287584672</v>
      </c>
      <c r="J28" s="64">
        <f>J25*'Input params'!$D$10/365/24</f>
        <v>2.0095090339616148</v>
      </c>
      <c r="K28" s="64">
        <f>K25*'Input params'!$D$10/365/24</f>
        <v>2.4957033438133189</v>
      </c>
      <c r="L28" s="64">
        <f>L25*'Input params'!$D$10/365/24</f>
        <v>3.0205685765942736</v>
      </c>
      <c r="M28" s="64">
        <f>M25*'Input params'!$D$10/365/24</f>
        <v>3.5802012293469283</v>
      </c>
      <c r="N28" s="64">
        <f>N25*'Input params'!$D$10/365/24</f>
        <v>4.1707979605333287</v>
      </c>
      <c r="O28" s="64">
        <f>O25*'Input params'!$D$10/365/24</f>
        <v>4.7886744258761151</v>
      </c>
      <c r="P28" s="64">
        <f>P25*'Input params'!$D$10/365/24</f>
        <v>5.4302813105969845</v>
      </c>
      <c r="Q28" s="64">
        <f>Q25*'Input params'!$D$10/365/24</f>
        <v>6.0922176276577389</v>
      </c>
    </row>
    <row r="29" spans="1:17" x14ac:dyDescent="0.25">
      <c r="B29" t="s">
        <v>83</v>
      </c>
      <c r="C29" s="55">
        <f>C26*'Input params'!$D$52+'Input params'!$D$53*LCC_standard!C27+'Input params'!$D$54*LCC_standard!C28</f>
        <v>4483.1295365245887</v>
      </c>
      <c r="D29" s="55">
        <f>D26*'Input params'!$D$52+'Input params'!$D$53*LCC_standard!D27+'Input params'!$D$54*LCC_standard!D28</f>
        <v>22071.560217054186</v>
      </c>
      <c r="E29" s="55">
        <f>E26*'Input params'!$D$52+'Input params'!$D$53*LCC_standard!E27+'Input params'!$D$54*LCC_standard!E28</f>
        <v>50892.943599581165</v>
      </c>
      <c r="F29" s="55">
        <f>F26*'Input params'!$D$52+'Input params'!$D$53*LCC_standard!F27+'Input params'!$D$54*LCC_standard!F28</f>
        <v>90403.967577267205</v>
      </c>
      <c r="G29" s="55">
        <f>G26*'Input params'!$D$52+'Input params'!$D$53*LCC_standard!G27+'Input params'!$D$54*LCC_standard!G28</f>
        <v>139924.16238972716</v>
      </c>
      <c r="H29" s="55">
        <f>H26*'Input params'!$D$52+'Input params'!$D$53*LCC_standard!H27+'Input params'!$D$54*LCC_standard!H28</f>
        <v>198765.13250260713</v>
      </c>
      <c r="I29" s="55">
        <f>I26*'Input params'!$D$52+'Input params'!$D$53*LCC_standard!I27+'Input params'!$D$54*LCC_standard!I28</f>
        <v>266235.14413202961</v>
      </c>
      <c r="J29" s="55">
        <f>J26*'Input params'!$D$52+'Input params'!$D$53*LCC_standard!J27+'Input params'!$D$54*LCC_standard!J28</f>
        <v>341643.00928190077</v>
      </c>
      <c r="K29" s="55">
        <f>K26*'Input params'!$D$52+'Input params'!$D$53*LCC_standard!K27+'Input params'!$D$54*LCC_standard!K28</f>
        <v>424302.44713772781</v>
      </c>
      <c r="L29" s="55">
        <f>L26*'Input params'!$D$52+'Input params'!$D$53*LCC_standard!L27+'Input params'!$D$54*LCC_standard!L28</f>
        <v>513536.45134681562</v>
      </c>
      <c r="M29" s="55">
        <f>M26*'Input params'!$D$52+'Input params'!$D$53*LCC_standard!M27+'Input params'!$D$54*LCC_standard!M28</f>
        <v>608681.37498117343</v>
      </c>
      <c r="N29" s="55">
        <f>N26*'Input params'!$D$52+'Input params'!$D$53*LCC_standard!N27+'Input params'!$D$54*LCC_standard!N28</f>
        <v>709090.59987368016</v>
      </c>
      <c r="O29" s="55">
        <f>O26*'Input params'!$D$52+'Input params'!$D$53*LCC_standard!O27+'Input params'!$D$54*LCC_standard!O28</f>
        <v>814137.73895919952</v>
      </c>
      <c r="P29" s="55">
        <f>P26*'Input params'!$D$52+'Input params'!$D$53*LCC_standard!P27+'Input params'!$D$54*LCC_standard!P28</f>
        <v>923219.36196632986</v>
      </c>
      <c r="Q29" s="55">
        <f>Q26*'Input params'!$D$52+'Input params'!$D$53*LCC_standard!Q27+'Input params'!$D$54*LCC_standard!Q28</f>
        <v>1035757.256293574</v>
      </c>
    </row>
    <row r="32" spans="1:17" x14ac:dyDescent="0.25">
      <c r="A32" t="s">
        <v>30</v>
      </c>
      <c r="B32" t="s">
        <v>89</v>
      </c>
      <c r="C32" s="63">
        <f>C14*'Input params'!$D$3</f>
        <v>7.4374995701239656E-3</v>
      </c>
      <c r="D32" s="63">
        <f>D14*'Input params'!$D$3</f>
        <v>3.6616657691663231E-2</v>
      </c>
      <c r="E32" s="63">
        <f>E14*'Input params'!$D$3</f>
        <v>8.4431253449272728E-2</v>
      </c>
      <c r="F32" s="63">
        <f>F14*'Input params'!$D$3</f>
        <v>0.14997993355210248</v>
      </c>
      <c r="G32" s="63">
        <f>G14*'Input params'!$D$3</f>
        <v>0.2321338005393242</v>
      </c>
      <c r="H32" s="63">
        <f>H14*'Input params'!$D$3</f>
        <v>0.32975080811289548</v>
      </c>
      <c r="I32" s="63">
        <f>I14*'Input params'!$D$3</f>
        <v>0.44168337182799622</v>
      </c>
      <c r="J32" s="63">
        <f>J14*'Input params'!$D$3</f>
        <v>0.56678481270023828</v>
      </c>
      <c r="K32" s="63">
        <f>K14*'Input params'!$D$3</f>
        <v>0.70391659274601226</v>
      </c>
      <c r="L32" s="63">
        <f>L14*'Input params'!$D$3</f>
        <v>0.85195556028832131</v>
      </c>
      <c r="M32" s="63">
        <f>M14*'Input params'!$D$3</f>
        <v>1.0098007268990079</v>
      </c>
      <c r="N32" s="63">
        <f>N14*'Input params'!$D$3</f>
        <v>1.1763793548173589</v>
      </c>
      <c r="O32" s="63">
        <f>O14*'Input params'!$D$3</f>
        <v>1.3506522696252083</v>
      </c>
      <c r="P32" s="63">
        <f>P14*'Input params'!$D$3</f>
        <v>1.5316183821620519</v>
      </c>
      <c r="Q32" s="63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1325.9471183924165</v>
      </c>
      <c r="D33" s="55">
        <f>D32*SUM('Input params'!$D$71:$D$73)</f>
        <v>6527.9669993464122</v>
      </c>
      <c r="E33" s="55">
        <f>E32*SUM('Input params'!$D$71:$D$73)</f>
        <v>15052.286881874332</v>
      </c>
      <c r="F33" s="55">
        <f>F32*SUM('Input params'!$D$71:$D$73)</f>
        <v>26738.214750146439</v>
      </c>
      <c r="G33" s="55">
        <f>G32*SUM('Input params'!$D$71:$D$73)</f>
        <v>41384.492328981294</v>
      </c>
      <c r="H33" s="55">
        <f>H32*SUM('Input params'!$D$71:$D$73)</f>
        <v>58787.517186717203</v>
      </c>
      <c r="I33" s="55">
        <f>I32*SUM('Input params'!$D$71:$D$73)</f>
        <v>78742.699558558292</v>
      </c>
      <c r="J33" s="55">
        <f>J32*SUM('Input params'!$D$71:$D$73)</f>
        <v>101045.61110393991</v>
      </c>
      <c r="K33" s="55">
        <f>K32*SUM('Input params'!$D$71:$D$73)</f>
        <v>125493.27484863657</v>
      </c>
      <c r="L33" s="55">
        <f>L32*SUM('Input params'!$D$71:$D$73)</f>
        <v>151885.4568678473</v>
      </c>
      <c r="M33" s="55">
        <f>M32*SUM('Input params'!$D$71:$D$73)</f>
        <v>180025.87447006605</v>
      </c>
      <c r="N33" s="55">
        <f>N32*SUM('Input params'!$D$71:$D$73)</f>
        <v>209723.28145363627</v>
      </c>
      <c r="O33" s="55">
        <f>O32*SUM('Input params'!$D$71:$D$73)</f>
        <v>240792.41524310733</v>
      </c>
      <c r="P33" s="55">
        <f>P32*SUM('Input params'!$D$71:$D$73)</f>
        <v>273054.8030499958</v>
      </c>
      <c r="Q33" s="129">
        <f>Q32*SUM('Input params'!$D$71:$D$73)</f>
        <v>306339.43055795698</v>
      </c>
    </row>
    <row r="36" spans="1:17" ht="15.75" thickBot="1" x14ac:dyDescent="0.3">
      <c r="A36" t="s">
        <v>76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  <c r="M36">
        <v>11</v>
      </c>
      <c r="N36">
        <v>12</v>
      </c>
      <c r="O36">
        <v>13</v>
      </c>
      <c r="P36">
        <v>14</v>
      </c>
      <c r="Q36">
        <v>15</v>
      </c>
    </row>
    <row r="37" spans="1:17" x14ac:dyDescent="0.25">
      <c r="B37" s="6" t="s">
        <v>16</v>
      </c>
      <c r="C37" s="105">
        <v>9</v>
      </c>
      <c r="D37" s="105">
        <f t="shared" ref="D37:Q37" si="1">C37+9</f>
        <v>18</v>
      </c>
      <c r="E37" s="105">
        <f t="shared" si="1"/>
        <v>27</v>
      </c>
      <c r="F37" s="105">
        <f t="shared" si="1"/>
        <v>36</v>
      </c>
      <c r="G37" s="105">
        <f t="shared" si="1"/>
        <v>45</v>
      </c>
      <c r="H37" s="105">
        <f t="shared" si="1"/>
        <v>54</v>
      </c>
      <c r="I37" s="105">
        <f t="shared" si="1"/>
        <v>63</v>
      </c>
      <c r="J37" s="105">
        <f t="shared" si="1"/>
        <v>72</v>
      </c>
      <c r="K37" s="105">
        <f t="shared" si="1"/>
        <v>81</v>
      </c>
      <c r="L37" s="105">
        <f t="shared" si="1"/>
        <v>90</v>
      </c>
      <c r="M37" s="105">
        <f t="shared" si="1"/>
        <v>99</v>
      </c>
      <c r="N37" s="105">
        <f t="shared" si="1"/>
        <v>108</v>
      </c>
      <c r="O37" s="105">
        <f t="shared" si="1"/>
        <v>117</v>
      </c>
      <c r="P37" s="105">
        <f t="shared" si="1"/>
        <v>126</v>
      </c>
      <c r="Q37" s="105">
        <f t="shared" si="1"/>
        <v>135</v>
      </c>
    </row>
    <row r="38" spans="1:17" x14ac:dyDescent="0.25">
      <c r="B38" s="47" t="s">
        <v>212</v>
      </c>
      <c r="C38">
        <v>7.7590972482809287E-2</v>
      </c>
      <c r="D38">
        <v>0.13078901260333914</v>
      </c>
      <c r="E38">
        <v>0.16301080193739603</v>
      </c>
      <c r="F38">
        <v>0.18823898426362262</v>
      </c>
      <c r="G38">
        <v>0.20954031821932695</v>
      </c>
      <c r="H38">
        <v>0.22824499867590176</v>
      </c>
      <c r="I38">
        <v>0.24507303838110905</v>
      </c>
      <c r="J38">
        <v>0.26046562775915616</v>
      </c>
      <c r="K38">
        <v>0.27471589296172017</v>
      </c>
      <c r="L38">
        <v>0.28803009395272738</v>
      </c>
      <c r="M38">
        <v>0.30055974470290536</v>
      </c>
      <c r="N38">
        <v>0.31241993448090666</v>
      </c>
      <c r="O38">
        <v>0.32370046367102079</v>
      </c>
      <c r="P38">
        <v>0.33447296100395407</v>
      </c>
      <c r="Q38">
        <v>0.34479562193520197</v>
      </c>
    </row>
    <row r="39" spans="1:17" x14ac:dyDescent="0.25">
      <c r="B39" t="s">
        <v>213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  <row r="48" spans="1:17" x14ac:dyDescent="0.25">
      <c r="C48" s="130"/>
    </row>
    <row r="49" spans="3:3" x14ac:dyDescent="0.25">
      <c r="C49" s="130"/>
    </row>
    <row r="50" spans="3:3" x14ac:dyDescent="0.25">
      <c r="C50" s="130"/>
    </row>
    <row r="51" spans="3:3" x14ac:dyDescent="0.25">
      <c r="C51" s="130"/>
    </row>
    <row r="52" spans="3:3" x14ac:dyDescent="0.25">
      <c r="C52" s="130"/>
    </row>
    <row r="53" spans="3:3" x14ac:dyDescent="0.25">
      <c r="C53" s="130"/>
    </row>
    <row r="54" spans="3:3" x14ac:dyDescent="0.25">
      <c r="C54" s="130"/>
    </row>
    <row r="55" spans="3:3" x14ac:dyDescent="0.25">
      <c r="C55" s="130"/>
    </row>
    <row r="56" spans="3:3" x14ac:dyDescent="0.25">
      <c r="C56" s="130"/>
    </row>
    <row r="57" spans="3:3" x14ac:dyDescent="0.25">
      <c r="C57" s="130"/>
    </row>
    <row r="58" spans="3:3" x14ac:dyDescent="0.25">
      <c r="C58" s="130"/>
    </row>
    <row r="59" spans="3:3" x14ac:dyDescent="0.25">
      <c r="C59" s="130"/>
    </row>
    <row r="60" spans="3:3" x14ac:dyDescent="0.25">
      <c r="C60" s="130"/>
    </row>
    <row r="61" spans="3:3" x14ac:dyDescent="0.25">
      <c r="C61" s="130"/>
    </row>
    <row r="62" spans="3:3" x14ac:dyDescent="0.25">
      <c r="C62" s="130"/>
    </row>
    <row r="63" spans="3:3" x14ac:dyDescent="0.25">
      <c r="C63" s="1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92EE-E184-4984-B223-54E14D62C7D6}">
  <dimension ref="A1:Q39"/>
  <sheetViews>
    <sheetView zoomScale="80" zoomScaleNormal="80" workbookViewId="0">
      <selection activeCell="C13" sqref="C13:Q14"/>
    </sheetView>
  </sheetViews>
  <sheetFormatPr defaultRowHeight="15" x14ac:dyDescent="0.25"/>
  <cols>
    <col min="1" max="1" width="38.85546875" bestFit="1" customWidth="1"/>
    <col min="2" max="2" width="50" bestFit="1" customWidth="1"/>
    <col min="3" max="7" width="13.85546875" customWidth="1"/>
    <col min="8" max="9" width="13.85546875" bestFit="1" customWidth="1"/>
    <col min="10" max="13" width="14.85546875" bestFit="1" customWidth="1"/>
    <col min="14" max="14" width="15.85546875" bestFit="1" customWidth="1"/>
    <col min="15" max="15" width="14.28515625" bestFit="1" customWidth="1"/>
    <col min="16" max="16" width="13.85546875" bestFit="1" customWidth="1"/>
    <col min="17" max="17" width="14.28515625" bestFit="1" customWidth="1"/>
  </cols>
  <sheetData>
    <row r="1" spans="1:17" x14ac:dyDescent="0.25">
      <c r="A1" t="s">
        <v>55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</row>
    <row r="2" spans="1:17" x14ac:dyDescent="0.25">
      <c r="B2" t="s">
        <v>54</v>
      </c>
      <c r="C2">
        <v>9</v>
      </c>
      <c r="D2">
        <v>18</v>
      </c>
      <c r="E2">
        <v>27</v>
      </c>
      <c r="F2">
        <v>36</v>
      </c>
      <c r="G2">
        <v>45</v>
      </c>
      <c r="H2">
        <v>54</v>
      </c>
      <c r="I2">
        <v>63</v>
      </c>
      <c r="J2">
        <v>72</v>
      </c>
      <c r="K2">
        <v>81</v>
      </c>
      <c r="L2">
        <v>90</v>
      </c>
      <c r="M2">
        <v>99</v>
      </c>
      <c r="N2">
        <v>108</v>
      </c>
      <c r="O2">
        <v>117</v>
      </c>
      <c r="P2">
        <v>126</v>
      </c>
      <c r="Q2">
        <v>135</v>
      </c>
    </row>
    <row r="4" spans="1:17" x14ac:dyDescent="0.25">
      <c r="A4" t="s">
        <v>186</v>
      </c>
      <c r="B4" t="s">
        <v>172</v>
      </c>
      <c r="E4">
        <v>1</v>
      </c>
      <c r="F4">
        <v>1</v>
      </c>
      <c r="G4">
        <v>1</v>
      </c>
      <c r="H4">
        <v>1</v>
      </c>
      <c r="I4">
        <v>1</v>
      </c>
    </row>
    <row r="5" spans="1:17" x14ac:dyDescent="0.25">
      <c r="B5" t="s">
        <v>173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B6" t="s">
        <v>175</v>
      </c>
    </row>
    <row r="8" spans="1:17" x14ac:dyDescent="0.25">
      <c r="A8" t="s">
        <v>185</v>
      </c>
      <c r="B8" t="s">
        <v>60</v>
      </c>
      <c r="J8">
        <v>1</v>
      </c>
    </row>
    <row r="9" spans="1:17" x14ac:dyDescent="0.25">
      <c r="B9" t="s">
        <v>67</v>
      </c>
      <c r="C9">
        <v>1</v>
      </c>
    </row>
    <row r="10" spans="1:17" x14ac:dyDescent="0.25">
      <c r="B10" t="s">
        <v>175</v>
      </c>
      <c r="N10">
        <v>1</v>
      </c>
    </row>
    <row r="12" spans="1:17" x14ac:dyDescent="0.25">
      <c r="A12" t="s">
        <v>158</v>
      </c>
      <c r="B12" t="s">
        <v>75</v>
      </c>
      <c r="C12" s="67">
        <v>0</v>
      </c>
      <c r="D12" s="67">
        <f>IF(C14&gt;='Input params'!$D$4,C13,C13+C12+C14)</f>
        <v>0</v>
      </c>
      <c r="E12" s="67">
        <f>IF(D14&gt;='Input params'!$D$4,D13,D13+D12+D14)</f>
        <v>1</v>
      </c>
      <c r="F12" s="67">
        <f>IF(E14&gt;='Input params'!$D$4,E13,E13+E12+E14)</f>
        <v>1</v>
      </c>
      <c r="G12" s="67">
        <f>IF(F14&gt;='Input params'!$D$4,F13,F13+F12+F14)</f>
        <v>2</v>
      </c>
      <c r="H12" s="124">
        <f>IF(G14&gt;='Input params'!$D$4,0,G13+G12)</f>
        <v>2</v>
      </c>
      <c r="I12" s="124">
        <f>IF(H14&gt;='Input params'!$D$4,0,H13+H12)</f>
        <v>0</v>
      </c>
      <c r="J12" s="124">
        <f>IF(I14&gt;='Input params'!$D$4,0,I13+I12)</f>
        <v>0</v>
      </c>
      <c r="K12" s="124">
        <f>IF(J14&gt;='Input params'!$D$4,0,J13+J12)</f>
        <v>0</v>
      </c>
      <c r="L12" s="124">
        <f>IF(K14&gt;='Input params'!$D$4,0,K13+K12)</f>
        <v>0</v>
      </c>
      <c r="M12" s="124">
        <f>IF(L14&gt;='Input params'!$D$4,0,L13+L12)</f>
        <v>0</v>
      </c>
      <c r="N12" s="124">
        <f>IF(M14&gt;='Input params'!$D$4,0,M13+M12)</f>
        <v>0</v>
      </c>
      <c r="O12" s="124">
        <f>IF(N14&gt;='Input params'!$D$4,0,N13+N12)</f>
        <v>0</v>
      </c>
      <c r="P12" s="124">
        <f>IF(O14&gt;='Input params'!$D$4,0,O13+O12)</f>
        <v>0</v>
      </c>
      <c r="Q12" s="124">
        <f>IF(P14&gt;='Input params'!$D$4,0,P13+P12)</f>
        <v>0</v>
      </c>
    </row>
    <row r="13" spans="1:17" x14ac:dyDescent="0.25">
      <c r="B13" t="s">
        <v>52</v>
      </c>
      <c r="C13" s="67">
        <v>0</v>
      </c>
      <c r="D13" s="67">
        <v>1</v>
      </c>
      <c r="E13" s="67">
        <v>0</v>
      </c>
      <c r="F13" s="67">
        <v>1</v>
      </c>
      <c r="G13" s="67">
        <v>0</v>
      </c>
      <c r="H13" s="124">
        <f>H38*'Sensitivity analysis'!$C$17</f>
        <v>0.17118374900692632</v>
      </c>
      <c r="I13" s="124">
        <f>I38*'Sensitivity analysis'!$C$17</f>
        <v>0.18380477878583179</v>
      </c>
      <c r="J13" s="124">
        <f>J38*'Sensitivity analysis'!$C$17</f>
        <v>0.19534922081936712</v>
      </c>
      <c r="K13" s="124">
        <f>K38*'Sensitivity analysis'!$C$17</f>
        <v>0.20603691972129012</v>
      </c>
      <c r="L13" s="124">
        <f>L38*'Sensitivity analysis'!$C$17</f>
        <v>0.21602257046454554</v>
      </c>
      <c r="M13" s="124">
        <f>M38*'Sensitivity analysis'!$C$17</f>
        <v>0.22541980852717902</v>
      </c>
      <c r="N13" s="124">
        <f>N38*'Sensitivity analysis'!$C$17</f>
        <v>0.23431495086067999</v>
      </c>
      <c r="O13" s="124">
        <f>O38*'Sensitivity analysis'!$C$17</f>
        <v>0.24277534775326559</v>
      </c>
      <c r="P13" s="124">
        <f>P38*'Sensitivity analysis'!$C$17</f>
        <v>0.25085472075296555</v>
      </c>
      <c r="Q13" s="124">
        <f>Q38*'Sensitivity analysis'!$C$17</f>
        <v>0.25859671645140148</v>
      </c>
    </row>
    <row r="14" spans="1:17" x14ac:dyDescent="0.25">
      <c r="B14" t="s">
        <v>53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124">
        <f>VLOOKUP(H12+H13,regression_corr!$A$1:G14,regression_corr!G16)*H39</f>
        <v>0.89224789522001224</v>
      </c>
      <c r="I14" s="124">
        <f>VLOOKUP(I12+I13,regression_corr!$A$1:H14,regression_corr!H16)*I39</f>
        <v>1.291094334486981</v>
      </c>
      <c r="J14" s="124">
        <f>VLOOKUP(J12+J13,regression_corr!$A$1:I14,regression_corr!I16)*J39</f>
        <v>1.6567810952944702</v>
      </c>
      <c r="K14" s="124">
        <f>VLOOKUP(K12+K13,regression_corr!$A$1:J14,regression_corr!J16)*K39</f>
        <v>2.0576340039345578</v>
      </c>
      <c r="L14" s="124">
        <f>VLOOKUP(L12+L13,regression_corr!$A$1:K14,regression_corr!K16)*L39</f>
        <v>2.4903699511497259</v>
      </c>
      <c r="M14" s="124">
        <f>VLOOKUP(M12+M13,regression_corr!$A$1:L14,regression_corr!L16)*M39</f>
        <v>2.9517706135603854</v>
      </c>
      <c r="N14" s="124">
        <f>VLOOKUP(N12+N13,regression_corr!$A$1:M14,regression_corr!M16)*N39</f>
        <v>3.4387002479314783</v>
      </c>
      <c r="O14" s="124">
        <f>VLOOKUP(O12+O13,regression_corr!$A$1:N14,regression_corr!N16)*O39</f>
        <v>3.9481212207693899</v>
      </c>
      <c r="P14" s="124">
        <f>VLOOKUP(P12+P13,regression_corr!$A$1:O14,regression_corr!O16)*P39</f>
        <v>4.4771072264310199</v>
      </c>
      <c r="Q14" s="124">
        <f>VLOOKUP(Q12+Q13,regression_corr!$A$1:P14,regression_corr!P16)*Q39</f>
        <v>5.0228542511324044</v>
      </c>
    </row>
    <row r="17" spans="1:17" x14ac:dyDescent="0.25">
      <c r="A17" t="s">
        <v>29</v>
      </c>
      <c r="B17" t="s">
        <v>179</v>
      </c>
      <c r="C17" s="55">
        <f>SUM(C13:C14)*'Input params'!$D$17</f>
        <v>0</v>
      </c>
      <c r="D17" s="55">
        <f>SUM(D13:D14)*'Input params'!$D$17</f>
        <v>45351.5</v>
      </c>
      <c r="E17" s="55">
        <f>SUM(E13:E14)*'Input params'!$D$17</f>
        <v>0</v>
      </c>
      <c r="F17" s="55">
        <f>SUM(F13:F14)*'Input params'!$D$17</f>
        <v>45351.5</v>
      </c>
      <c r="G17" s="55">
        <f>SUM(G13:G14)*'Input params'!$D$17</f>
        <v>0</v>
      </c>
      <c r="H17" s="55">
        <f>SUM(H13:H14)*'Input params'!$D$17</f>
        <v>48228.220213157998</v>
      </c>
      <c r="I17" s="55">
        <f>SUM(I13:I14)*'Input params'!$D$17</f>
        <v>66888.887135591969</v>
      </c>
      <c r="J17" s="55">
        <f>SUM(J13:J14)*'Input params'!$D$17</f>
        <v>83996.888031236682</v>
      </c>
      <c r="K17" s="55">
        <f>SUM(K13:K14)*'Input params'!$D$17</f>
        <v>102660.8718941782</v>
      </c>
      <c r="L17" s="55">
        <f>SUM(L13:L14)*'Input params'!$D$17</f>
        <v>122738.96044398964</v>
      </c>
      <c r="M17" s="55">
        <f>SUM(M13:M14)*'Input params'!$D$17</f>
        <v>144090.35142730418</v>
      </c>
      <c r="N17" s="55">
        <f>SUM(N13:N14)*'Input params'!$D$17</f>
        <v>166576.74878802255</v>
      </c>
      <c r="O17" s="55">
        <f>SUM(O13:O14)*'Input params'!$D$17</f>
        <v>190063.4457273552</v>
      </c>
      <c r="P17" s="55">
        <f>SUM(P13:P14)*'Input params'!$D$17</f>
        <v>214420.16624771451</v>
      </c>
      <c r="Q17" s="55">
        <f>SUM(Q13:Q14)*'Input params'!$D$17</f>
        <v>239521.72355637696</v>
      </c>
    </row>
    <row r="18" spans="1:17" x14ac:dyDescent="0.25">
      <c r="B18" t="s">
        <v>162</v>
      </c>
      <c r="C18" s="55">
        <f>'Input params'!$D$16</f>
        <v>7067</v>
      </c>
      <c r="D18" s="55">
        <f>'Input params'!$D$16</f>
        <v>7067</v>
      </c>
      <c r="E18" s="55">
        <f>'Input params'!$D$16</f>
        <v>7067</v>
      </c>
      <c r="F18" s="55">
        <f>'Input params'!$D$16</f>
        <v>7067</v>
      </c>
      <c r="G18" s="55">
        <f>'Input params'!$D$16</f>
        <v>7067</v>
      </c>
      <c r="H18" s="55">
        <f>'Input params'!$D$16</f>
        <v>7067</v>
      </c>
      <c r="I18" s="55">
        <f>'Input params'!$D$16</f>
        <v>7067</v>
      </c>
      <c r="J18" s="55">
        <f>'Input params'!$D$16</f>
        <v>7067</v>
      </c>
      <c r="K18" s="55">
        <f>'Input params'!$D$16</f>
        <v>7067</v>
      </c>
      <c r="L18" s="55">
        <f>'Input params'!$D$16</f>
        <v>7067</v>
      </c>
      <c r="M18" s="55">
        <f>'Input params'!$D$16</f>
        <v>7067</v>
      </c>
      <c r="N18" s="55">
        <f>'Input params'!$D$16</f>
        <v>7067</v>
      </c>
      <c r="O18" s="55">
        <f>'Input params'!$D$16</f>
        <v>7067</v>
      </c>
      <c r="P18" s="55">
        <f>'Input params'!$D$16</f>
        <v>7067</v>
      </c>
      <c r="Q18" s="55">
        <f>'Input params'!$D$16</f>
        <v>7067</v>
      </c>
    </row>
    <row r="19" spans="1:17" x14ac:dyDescent="0.25">
      <c r="B19" t="s">
        <v>83</v>
      </c>
      <c r="C19" s="55">
        <f t="shared" ref="C19:Q19" si="0">SUM(C17:C18)</f>
        <v>7067</v>
      </c>
      <c r="D19" s="55">
        <f t="shared" si="0"/>
        <v>52418.5</v>
      </c>
      <c r="E19" s="55">
        <f t="shared" si="0"/>
        <v>7067</v>
      </c>
      <c r="F19" s="55">
        <f t="shared" si="0"/>
        <v>52418.5</v>
      </c>
      <c r="G19" s="55">
        <f t="shared" si="0"/>
        <v>7067</v>
      </c>
      <c r="H19" s="55">
        <f t="shared" si="0"/>
        <v>55295.220213157998</v>
      </c>
      <c r="I19" s="55">
        <f t="shared" si="0"/>
        <v>73955.887135591969</v>
      </c>
      <c r="J19" s="55">
        <f t="shared" si="0"/>
        <v>91063.888031236682</v>
      </c>
      <c r="K19" s="55">
        <f t="shared" si="0"/>
        <v>109727.8718941782</v>
      </c>
      <c r="L19" s="55">
        <f t="shared" si="0"/>
        <v>129805.96044398964</v>
      </c>
      <c r="M19" s="55">
        <f t="shared" si="0"/>
        <v>151157.35142730418</v>
      </c>
      <c r="N19" s="55">
        <f t="shared" si="0"/>
        <v>173643.74878802255</v>
      </c>
      <c r="O19" s="55">
        <f t="shared" si="0"/>
        <v>197130.4457273552</v>
      </c>
      <c r="P19" s="55">
        <f t="shared" si="0"/>
        <v>221487.16624771451</v>
      </c>
      <c r="Q19" s="55">
        <f t="shared" si="0"/>
        <v>246588.72355637696</v>
      </c>
    </row>
    <row r="21" spans="1:17" x14ac:dyDescent="0.25">
      <c r="A21" t="s">
        <v>77</v>
      </c>
      <c r="B21" t="s">
        <v>87</v>
      </c>
      <c r="C21" s="64">
        <f>C13*'Input params'!$D$19</f>
        <v>0</v>
      </c>
      <c r="D21" s="64">
        <f>D13*'Input params'!$D$19</f>
        <v>4</v>
      </c>
      <c r="E21" s="64">
        <f>E13*'Input params'!$D$19</f>
        <v>0</v>
      </c>
      <c r="F21" s="64">
        <f>F13*'Input params'!$D$19</f>
        <v>4</v>
      </c>
      <c r="G21" s="64">
        <f>G13*'Input params'!$D$19</f>
        <v>0</v>
      </c>
      <c r="H21" s="64">
        <f>H13*'Input params'!$D$19</f>
        <v>0.68473499602770527</v>
      </c>
      <c r="I21" s="64">
        <f>I13*'Input params'!$D$19</f>
        <v>0.73521911514332716</v>
      </c>
      <c r="J21" s="64">
        <f>J13*'Input params'!$D$19</f>
        <v>0.78139688327746848</v>
      </c>
      <c r="K21" s="64">
        <f>K13*'Input params'!$D$19</f>
        <v>0.8241476788851605</v>
      </c>
      <c r="L21" s="64">
        <f>L13*'Input params'!$D$19</f>
        <v>0.86409028185818215</v>
      </c>
      <c r="M21" s="64">
        <f>M13*'Input params'!$D$19</f>
        <v>0.90167923410871609</v>
      </c>
      <c r="N21" s="64">
        <f>N13*'Input params'!$D$19</f>
        <v>0.93725980344271997</v>
      </c>
      <c r="O21" s="64">
        <f>O13*'Input params'!$D$19</f>
        <v>0.97110139101306236</v>
      </c>
      <c r="P21" s="64">
        <f>P13*'Input params'!$D$19</f>
        <v>1.0034188830118622</v>
      </c>
      <c r="Q21" s="64">
        <f>Q13*'Input params'!$D$19</f>
        <v>1.0343868658056059</v>
      </c>
    </row>
    <row r="22" spans="1:17" x14ac:dyDescent="0.25">
      <c r="B22" t="s">
        <v>78</v>
      </c>
      <c r="C22" s="64">
        <f>C21*'Input params'!$D$11/24</f>
        <v>0</v>
      </c>
      <c r="D22" s="64">
        <f>D21*'Input params'!$D$11/24</f>
        <v>1.7123287671232876</v>
      </c>
      <c r="E22" s="64">
        <f>E21*'Input params'!$D$11/24</f>
        <v>0</v>
      </c>
      <c r="F22" s="64">
        <f>F21*'Input params'!$D$11/24</f>
        <v>1.7123287671232876</v>
      </c>
      <c r="G22" s="64">
        <f>G21*'Input params'!$D$11/24</f>
        <v>0</v>
      </c>
      <c r="H22" s="64">
        <f>H21*'Input params'!$D$11/24</f>
        <v>0.29312285788857245</v>
      </c>
      <c r="I22" s="64">
        <f>I21*'Input params'!$D$11/24</f>
        <v>0.31473421024971193</v>
      </c>
      <c r="J22" s="64">
        <f>J21*'Input params'!$D$11/24</f>
        <v>0.33450209044412177</v>
      </c>
      <c r="K22" s="64">
        <f>K21*'Input params'!$D$11/24</f>
        <v>0.35280294472823653</v>
      </c>
      <c r="L22" s="64">
        <f>L21*'Input params'!$D$11/24</f>
        <v>0.36990166175435873</v>
      </c>
      <c r="M22" s="64">
        <f>M21*'Input params'!$D$11/24</f>
        <v>0.385992822820512</v>
      </c>
      <c r="N22" s="64">
        <f>N21*'Input params'!$D$11/24</f>
        <v>0.40122423092582188</v>
      </c>
      <c r="O22" s="64">
        <f>O21*'Input params'!$D$11/24</f>
        <v>0.41571121190627669</v>
      </c>
      <c r="P22" s="64">
        <f>P21*'Input params'!$D$11/24</f>
        <v>0.4295457547139821</v>
      </c>
      <c r="Q22" s="64">
        <f>Q21*'Input params'!$D$11/24</f>
        <v>0.44280259666335864</v>
      </c>
    </row>
    <row r="23" spans="1:17" x14ac:dyDescent="0.25">
      <c r="B23" t="s">
        <v>83</v>
      </c>
      <c r="C23" s="109">
        <f>C22*'Input params'!$D$52</f>
        <v>0</v>
      </c>
      <c r="D23" s="109">
        <f>D22*'Input params'!$D$52</f>
        <v>72060.958904109604</v>
      </c>
      <c r="E23" s="109">
        <f>E22*'Input params'!$D$52</f>
        <v>0</v>
      </c>
      <c r="F23" s="109">
        <f>F22*'Input params'!$D$52</f>
        <v>72060.958904109604</v>
      </c>
      <c r="G23" s="109">
        <f>G22*'Input params'!$D$52</f>
        <v>0</v>
      </c>
      <c r="H23" s="109">
        <f>H22*'Input params'!$D$52</f>
        <v>12335.665102239529</v>
      </c>
      <c r="I23" s="109">
        <f>I22*'Input params'!$D$52</f>
        <v>13245.148610464779</v>
      </c>
      <c r="J23" s="109">
        <f>J22*'Input params'!$D$52</f>
        <v>14077.052173414244</v>
      </c>
      <c r="K23" s="109">
        <f>K22*'Input params'!$D$52</f>
        <v>14847.218004765216</v>
      </c>
      <c r="L23" s="109">
        <f>L22*'Input params'!$D$52</f>
        <v>15566.793572605733</v>
      </c>
      <c r="M23" s="109">
        <f>M22*'Input params'!$D$52</f>
        <v>16243.967558449302</v>
      </c>
      <c r="N23" s="109">
        <f>N22*'Input params'!$D$52</f>
        <v>16884.96004458992</v>
      </c>
      <c r="O23" s="109">
        <f>O22*'Input params'!$D$52</f>
        <v>17494.624357378987</v>
      </c>
      <c r="P23" s="109">
        <f>P22*'Input params'!$D$52</f>
        <v>18076.831723081341</v>
      </c>
      <c r="Q23" s="109">
        <f>Q22*'Input params'!$D$52</f>
        <v>18634.727356942123</v>
      </c>
    </row>
    <row r="25" spans="1:17" x14ac:dyDescent="0.25">
      <c r="A25" t="s">
        <v>79</v>
      </c>
      <c r="B25" t="s">
        <v>88</v>
      </c>
      <c r="C25" s="64">
        <f>C14*'Input params'!$D$18</f>
        <v>0</v>
      </c>
      <c r="D25" s="64">
        <f>D14*'Input params'!$D$18</f>
        <v>0</v>
      </c>
      <c r="E25" s="64">
        <f>E14*'Input params'!$D$18</f>
        <v>0</v>
      </c>
      <c r="F25" s="64">
        <f>F14*'Input params'!$D$18</f>
        <v>0</v>
      </c>
      <c r="G25" s="64">
        <f>G14*'Input params'!$D$18</f>
        <v>0</v>
      </c>
      <c r="H25" s="64">
        <f>H14*'Input params'!$D$18</f>
        <v>1.1153098690250154</v>
      </c>
      <c r="I25" s="64">
        <f>I14*'Input params'!$D$18</f>
        <v>1.6138679181087263</v>
      </c>
      <c r="J25" s="64">
        <f>J14*'Input params'!$D$18</f>
        <v>2.0709763691180876</v>
      </c>
      <c r="K25" s="64">
        <f>K14*'Input params'!$D$18</f>
        <v>2.5720425049181972</v>
      </c>
      <c r="L25" s="64">
        <f>L14*'Input params'!$D$18</f>
        <v>3.1129624389371573</v>
      </c>
      <c r="M25" s="64">
        <f>M14*'Input params'!$D$18</f>
        <v>3.6897132669504815</v>
      </c>
      <c r="N25" s="64">
        <f>N14*'Input params'!$D$18</f>
        <v>4.2983753099143476</v>
      </c>
      <c r="O25" s="64">
        <f>O14*'Input params'!$D$18</f>
        <v>4.9351515259617376</v>
      </c>
      <c r="P25" s="64">
        <f>P14*'Input params'!$D$18</f>
        <v>5.5963840330387749</v>
      </c>
      <c r="Q25" s="64">
        <f>Q14*'Input params'!$D$18</f>
        <v>6.2785678139155054</v>
      </c>
    </row>
    <row r="26" spans="1:17" x14ac:dyDescent="0.25">
      <c r="B26" t="s">
        <v>80</v>
      </c>
      <c r="C26" s="64">
        <f>C25*'Input params'!$D$7/365/24</f>
        <v>0</v>
      </c>
      <c r="D26" s="64">
        <f>D25*'Input params'!$D$7/365/24</f>
        <v>0</v>
      </c>
      <c r="E26" s="64">
        <f>E25*'Input params'!$D$7/365/24</f>
        <v>0</v>
      </c>
      <c r="F26" s="64">
        <f>F25*'Input params'!$D$7/365/24</f>
        <v>0</v>
      </c>
      <c r="G26" s="64">
        <f>G25*'Input params'!$D$7/365/24</f>
        <v>0</v>
      </c>
      <c r="H26" s="64">
        <f>H25*'Input params'!$D$7/365/24</f>
        <v>0.47744429324700999</v>
      </c>
      <c r="I26" s="64">
        <f>I25*'Input params'!$D$7/365/24</f>
        <v>0.69086811562873551</v>
      </c>
      <c r="J26" s="64">
        <f>J25*'Input params'!$D$7/365/24</f>
        <v>0.88654810321835942</v>
      </c>
      <c r="K26" s="64">
        <f>K25*'Input params'!$D$7/365/24</f>
        <v>1.1010455928588174</v>
      </c>
      <c r="L26" s="64">
        <f>L25*'Input params'!$D$7/365/24</f>
        <v>1.3326037837915912</v>
      </c>
      <c r="M26" s="64">
        <f>M25*'Input params'!$D$7/365/24</f>
        <v>1.5795005423589388</v>
      </c>
      <c r="N26" s="64">
        <f>N25*'Input params'!$D$7/365/24</f>
        <v>1.8400579237647037</v>
      </c>
      <c r="O26" s="64">
        <f>O25*'Input params'!$D$7/365/24</f>
        <v>2.1126504820041685</v>
      </c>
      <c r="P26" s="64">
        <f>P25*'Input params'!$D$7/365/24</f>
        <v>2.3957123429104343</v>
      </c>
      <c r="Q26" s="64">
        <f>Q25*'Input params'!$D$7/365/24</f>
        <v>2.6877430710254728</v>
      </c>
    </row>
    <row r="27" spans="1:17" x14ac:dyDescent="0.25">
      <c r="B27" t="s">
        <v>82</v>
      </c>
      <c r="C27" s="64">
        <f>C25*'Input params'!$D$9/365/24</f>
        <v>0</v>
      </c>
      <c r="D27" s="64">
        <f>D25*'Input params'!$D$9/365/24</f>
        <v>0</v>
      </c>
      <c r="E27" s="64">
        <f>E25*'Input params'!$D$9/365/24</f>
        <v>0</v>
      </c>
      <c r="F27" s="64">
        <f>F25*'Input params'!$D$9/365/24</f>
        <v>0</v>
      </c>
      <c r="G27" s="64">
        <f>G25*'Input params'!$D$9/365/24</f>
        <v>0</v>
      </c>
      <c r="H27" s="64">
        <f>H25*'Input params'!$D$9/365/24</f>
        <v>1.0822070646932227</v>
      </c>
      <c r="I27" s="64">
        <f>I25*'Input params'!$D$9/365/24</f>
        <v>1.5659677287584672</v>
      </c>
      <c r="J27" s="64">
        <f>J25*'Input params'!$D$9/365/24</f>
        <v>2.0095090339616148</v>
      </c>
      <c r="K27" s="64">
        <f>K25*'Input params'!$D$9/365/24</f>
        <v>2.4957033438133189</v>
      </c>
      <c r="L27" s="64">
        <f>L25*'Input params'!$D$9/365/24</f>
        <v>3.0205685765942736</v>
      </c>
      <c r="M27" s="64">
        <f>M25*'Input params'!$D$9/365/24</f>
        <v>3.5802012293469283</v>
      </c>
      <c r="N27" s="64">
        <f>N25*'Input params'!$D$9/365/24</f>
        <v>4.1707979605333287</v>
      </c>
      <c r="O27" s="64">
        <f>O25*'Input params'!$D$9/365/24</f>
        <v>4.7886744258761151</v>
      </c>
      <c r="P27" s="64">
        <f>P25*'Input params'!$D$9/365/24</f>
        <v>5.4302813105969845</v>
      </c>
      <c r="Q27" s="64">
        <f>Q25*'Input params'!$D$9/365/24</f>
        <v>6.0922176276577389</v>
      </c>
    </row>
    <row r="28" spans="1:17" x14ac:dyDescent="0.25">
      <c r="B28" t="s">
        <v>81</v>
      </c>
      <c r="C28" s="64">
        <f>C25*'Input params'!$D$10/365/24</f>
        <v>0</v>
      </c>
      <c r="D28" s="64">
        <f>D25*'Input params'!$D$10/365/24</f>
        <v>0</v>
      </c>
      <c r="E28" s="64">
        <f>E25*'Input params'!$D$10/365/24</f>
        <v>0</v>
      </c>
      <c r="F28" s="64">
        <f>F25*'Input params'!$D$10/365/24</f>
        <v>0</v>
      </c>
      <c r="G28" s="64">
        <f>G25*'Input params'!$D$10/365/24</f>
        <v>0</v>
      </c>
      <c r="H28" s="64">
        <f>H25*'Input params'!$D$10/365/24</f>
        <v>1.0822070646932227</v>
      </c>
      <c r="I28" s="64">
        <f>I25*'Input params'!$D$10/365/24</f>
        <v>1.5659677287584672</v>
      </c>
      <c r="J28" s="64">
        <f>J25*'Input params'!$D$10/365/24</f>
        <v>2.0095090339616148</v>
      </c>
      <c r="K28" s="64">
        <f>K25*'Input params'!$D$10/365/24</f>
        <v>2.4957033438133189</v>
      </c>
      <c r="L28" s="64">
        <f>L25*'Input params'!$D$10/365/24</f>
        <v>3.0205685765942736</v>
      </c>
      <c r="M28" s="64">
        <f>M25*'Input params'!$D$10/365/24</f>
        <v>3.5802012293469283</v>
      </c>
      <c r="N28" s="64">
        <f>N25*'Input params'!$D$10/365/24</f>
        <v>4.1707979605333287</v>
      </c>
      <c r="O28" s="64">
        <f>O25*'Input params'!$D$10/365/24</f>
        <v>4.7886744258761151</v>
      </c>
      <c r="P28" s="64">
        <f>P25*'Input params'!$D$10/365/24</f>
        <v>5.4302813105969845</v>
      </c>
      <c r="Q28" s="64">
        <f>Q25*'Input params'!$D$10/365/24</f>
        <v>6.0922176276577389</v>
      </c>
    </row>
    <row r="29" spans="1:17" x14ac:dyDescent="0.25">
      <c r="B29" t="s">
        <v>83</v>
      </c>
      <c r="C29" s="55">
        <f>C26*'Input params'!$D$52+'Input params'!$D$53*LCC_current_2018_standard_cross!C27+'Input params'!$D$54*LCC_current_2018_standard_cross!C28</f>
        <v>0</v>
      </c>
      <c r="D29" s="55">
        <f>D26*'Input params'!$D$52+'Input params'!$D$53*LCC_current_2018_standard_cross!D27+'Input params'!$D$54*LCC_current_2018_standard_cross!D28</f>
        <v>0</v>
      </c>
      <c r="E29" s="55">
        <f>E26*'Input params'!$D$52+'Input params'!$D$53*LCC_current_2018_standard_cross!E27+'Input params'!$D$54*LCC_current_2018_standard_cross!E28</f>
        <v>0</v>
      </c>
      <c r="F29" s="55">
        <f>F26*'Input params'!$D$52+'Input params'!$D$53*LCC_current_2018_standard_cross!F27+'Input params'!$D$54*LCC_current_2018_standard_cross!F28</f>
        <v>0</v>
      </c>
      <c r="G29" s="55">
        <f>G26*'Input params'!$D$52+'Input params'!$D$53*LCC_current_2018_standard_cross!G27+'Input params'!$D$54*LCC_current_2018_standard_cross!G28</f>
        <v>0</v>
      </c>
      <c r="H29" s="55">
        <f>H26*'Input params'!$D$52+'Input params'!$D$53*LCC_current_2018_standard_cross!H27+'Input params'!$D$54*LCC_current_2018_standard_cross!H28</f>
        <v>183989.45812103662</v>
      </c>
      <c r="I29" s="55">
        <f>I26*'Input params'!$D$52+'Input params'!$D$53*LCC_current_2018_standard_cross!I27+'Input params'!$D$54*LCC_current_2018_standard_cross!I28</f>
        <v>266235.14413202961</v>
      </c>
      <c r="J29" s="55">
        <f>J26*'Input params'!$D$52+'Input params'!$D$53*LCC_current_2018_standard_cross!J27+'Input params'!$D$54*LCC_current_2018_standard_cross!J28</f>
        <v>341643.00928190077</v>
      </c>
      <c r="K29" s="55">
        <f>K26*'Input params'!$D$52+'Input params'!$D$53*LCC_current_2018_standard_cross!K27+'Input params'!$D$54*LCC_current_2018_standard_cross!K28</f>
        <v>424302.44713772781</v>
      </c>
      <c r="L29" s="55">
        <f>L26*'Input params'!$D$52+'Input params'!$D$53*LCC_current_2018_standard_cross!L27+'Input params'!$D$54*LCC_current_2018_standard_cross!L28</f>
        <v>513536.45134681562</v>
      </c>
      <c r="M29" s="55">
        <f>M26*'Input params'!$D$52+'Input params'!$D$53*LCC_current_2018_standard_cross!M27+'Input params'!$D$54*LCC_current_2018_standard_cross!M28</f>
        <v>608681.37498117343</v>
      </c>
      <c r="N29" s="55">
        <f>N26*'Input params'!$D$52+'Input params'!$D$53*LCC_current_2018_standard_cross!N27+'Input params'!$D$54*LCC_current_2018_standard_cross!N28</f>
        <v>709090.59987368016</v>
      </c>
      <c r="O29" s="55">
        <f>O26*'Input params'!$D$52+'Input params'!$D$53*LCC_current_2018_standard_cross!O27+'Input params'!$D$54*LCC_current_2018_standard_cross!O28</f>
        <v>814137.73895919952</v>
      </c>
      <c r="P29" s="55">
        <f>P26*'Input params'!$D$52+'Input params'!$D$53*LCC_current_2018_standard_cross!P27+'Input params'!$D$54*LCC_current_2018_standard_cross!P28</f>
        <v>923219.36196632986</v>
      </c>
      <c r="Q29" s="55">
        <f>Q26*'Input params'!$D$52+'Input params'!$D$53*LCC_current_2018_standard_cross!Q27+'Input params'!$D$54*LCC_current_2018_standard_cross!Q28</f>
        <v>1035757.256293574</v>
      </c>
    </row>
    <row r="32" spans="1:17" x14ac:dyDescent="0.25">
      <c r="A32" t="s">
        <v>30</v>
      </c>
      <c r="B32" t="s">
        <v>89</v>
      </c>
      <c r="C32" s="63">
        <f>C14*'Input params'!$D$3</f>
        <v>0</v>
      </c>
      <c r="D32" s="63">
        <f>D14*'Input params'!$D$3</f>
        <v>0</v>
      </c>
      <c r="E32" s="63">
        <f>E14*'Input params'!$D$3</f>
        <v>0</v>
      </c>
      <c r="F32" s="63">
        <f>F14*'Input params'!$D$3</f>
        <v>0</v>
      </c>
      <c r="G32" s="63">
        <f>G14*'Input params'!$D$3</f>
        <v>0</v>
      </c>
      <c r="H32" s="63">
        <f>H14*'Input params'!$D$3</f>
        <v>0.30523800495476622</v>
      </c>
      <c r="I32" s="63">
        <f>I14*'Input params'!$D$3</f>
        <v>0.44168337182799622</v>
      </c>
      <c r="J32" s="63">
        <f>J14*'Input params'!$D$3</f>
        <v>0.56678481270023828</v>
      </c>
      <c r="K32" s="63">
        <f>K14*'Input params'!$D$3</f>
        <v>0.70391659274601226</v>
      </c>
      <c r="L32" s="63">
        <f>L14*'Input params'!$D$3</f>
        <v>0.85195556028832131</v>
      </c>
      <c r="M32" s="63">
        <f>M14*'Input params'!$D$3</f>
        <v>1.0098007268990079</v>
      </c>
      <c r="N32" s="63">
        <f>N14*'Input params'!$D$3</f>
        <v>1.1763793548173589</v>
      </c>
      <c r="O32" s="63">
        <f>O14*'Input params'!$D$3</f>
        <v>1.3506522696252083</v>
      </c>
      <c r="P32" s="63">
        <f>P14*'Input params'!$D$3</f>
        <v>1.5316183821620519</v>
      </c>
      <c r="Q32" s="63">
        <f>Q14*'Input params'!$D$3</f>
        <v>1.7183184393123956</v>
      </c>
    </row>
    <row r="33" spans="1:17" x14ac:dyDescent="0.25">
      <c r="B33" t="s">
        <v>83</v>
      </c>
      <c r="C33" s="55">
        <f>C32*SUM('Input params'!$D$71:$D$73)</f>
        <v>0</v>
      </c>
      <c r="D33" s="55">
        <f>D32*SUM('Input params'!$D$71:$D$73)</f>
        <v>0</v>
      </c>
      <c r="E33" s="55">
        <f>E32*SUM('Input params'!$D$71:$D$73)</f>
        <v>0</v>
      </c>
      <c r="F33" s="55">
        <f>F32*SUM('Input params'!$D$71:$D$73)</f>
        <v>0</v>
      </c>
      <c r="G33" s="55">
        <f>G32*SUM('Input params'!$D$71:$D$73)</f>
        <v>0</v>
      </c>
      <c r="H33" s="55">
        <f>H32*SUM('Input params'!$D$71:$D$73)</f>
        <v>54417.408603208372</v>
      </c>
      <c r="I33" s="55">
        <f>I32*SUM('Input params'!$D$71:$D$73)</f>
        <v>78742.699558558292</v>
      </c>
      <c r="J33" s="55">
        <f>J32*SUM('Input params'!$D$71:$D$73)</f>
        <v>101045.61110393991</v>
      </c>
      <c r="K33" s="55">
        <f>K32*SUM('Input params'!$D$71:$D$73)</f>
        <v>125493.27484863657</v>
      </c>
      <c r="L33" s="55">
        <f>L32*SUM('Input params'!$D$71:$D$73)</f>
        <v>151885.4568678473</v>
      </c>
      <c r="M33" s="55">
        <f>M32*SUM('Input params'!$D$71:$D$73)</f>
        <v>180025.87447006605</v>
      </c>
      <c r="N33" s="55">
        <f>N32*SUM('Input params'!$D$71:$D$73)</f>
        <v>209723.28145363627</v>
      </c>
      <c r="O33" s="55">
        <f>O32*SUM('Input params'!$D$71:$D$73)</f>
        <v>240792.41524310733</v>
      </c>
      <c r="P33" s="55">
        <f>P32*SUM('Input params'!$D$71:$D$73)</f>
        <v>273054.8030499958</v>
      </c>
      <c r="Q33" s="55">
        <f>Q32*SUM('Input params'!$D$71:$D$73)</f>
        <v>306339.43055795698</v>
      </c>
    </row>
    <row r="36" spans="1:17" ht="15.75" thickBot="1" x14ac:dyDescent="0.3">
      <c r="A36" t="s">
        <v>76</v>
      </c>
    </row>
    <row r="37" spans="1:17" x14ac:dyDescent="0.25">
      <c r="B37" s="6" t="s">
        <v>16</v>
      </c>
      <c r="C37" s="105">
        <v>9</v>
      </c>
      <c r="D37" s="105">
        <v>18</v>
      </c>
      <c r="E37" s="105">
        <v>27</v>
      </c>
      <c r="F37" s="105">
        <v>36</v>
      </c>
      <c r="G37" s="105">
        <v>45</v>
      </c>
      <c r="H37" s="105">
        <v>54</v>
      </c>
      <c r="I37" s="105">
        <v>63</v>
      </c>
      <c r="J37" s="105">
        <v>72</v>
      </c>
      <c r="K37" s="105">
        <v>81</v>
      </c>
      <c r="L37" s="105">
        <v>90</v>
      </c>
      <c r="M37" s="105">
        <v>99</v>
      </c>
      <c r="N37" s="105">
        <v>108</v>
      </c>
      <c r="O37" s="105">
        <v>117</v>
      </c>
      <c r="P37" s="105">
        <v>126</v>
      </c>
      <c r="Q37" s="105">
        <v>135</v>
      </c>
    </row>
    <row r="38" spans="1:17" x14ac:dyDescent="0.25">
      <c r="B38" s="47" t="s">
        <v>212</v>
      </c>
      <c r="C38" s="66">
        <v>7.7590972482809287E-2</v>
      </c>
      <c r="D38" s="66">
        <v>0.13078901260333914</v>
      </c>
      <c r="E38" s="66">
        <v>0.16301080193739603</v>
      </c>
      <c r="F38" s="66">
        <v>0.18823898426362262</v>
      </c>
      <c r="G38" s="66">
        <v>0.20954031821932695</v>
      </c>
      <c r="H38" s="66">
        <v>0.22824499867590176</v>
      </c>
      <c r="I38" s="66">
        <v>0.24507303838110905</v>
      </c>
      <c r="J38" s="66">
        <v>0.26046562775915616</v>
      </c>
      <c r="K38" s="66">
        <v>0.27471589296172017</v>
      </c>
      <c r="L38" s="66">
        <v>0.28803009395272738</v>
      </c>
      <c r="M38" s="66">
        <v>0.30055974470290536</v>
      </c>
      <c r="N38" s="66">
        <v>0.31241993448090666</v>
      </c>
      <c r="O38" s="66">
        <v>0.32370046367102079</v>
      </c>
      <c r="P38" s="66">
        <v>0.33447296100395407</v>
      </c>
      <c r="Q38" s="66">
        <v>0.34479562193520197</v>
      </c>
    </row>
    <row r="39" spans="1:17" x14ac:dyDescent="0.25">
      <c r="B39" t="s">
        <v>213</v>
      </c>
      <c r="C39">
        <v>8.5120860226627348E-3</v>
      </c>
      <c r="D39">
        <v>2.3507419972779164E-2</v>
      </c>
      <c r="E39">
        <v>4.2363551006410982E-2</v>
      </c>
      <c r="F39">
        <v>6.4052283938519472E-2</v>
      </c>
      <c r="G39">
        <v>8.7919751629451537E-2</v>
      </c>
      <c r="H39">
        <v>0.11348365164735719</v>
      </c>
      <c r="I39">
        <v>0.14036083472381922</v>
      </c>
      <c r="J39">
        <v>0.16823381011981542</v>
      </c>
      <c r="K39">
        <v>0.19683273337954277</v>
      </c>
      <c r="L39">
        <v>0.22592466509239117</v>
      </c>
      <c r="M39">
        <v>0.25530664339699527</v>
      </c>
      <c r="N39">
        <v>0.28480092252341616</v>
      </c>
      <c r="O39">
        <v>0.31425151824800468</v>
      </c>
      <c r="P39">
        <v>0.34352158076704997</v>
      </c>
      <c r="Q39">
        <v>0.37249131282242387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7054-05EE-4A14-A9CE-AFB5BAE90A7E}">
  <dimension ref="A1:P10"/>
  <sheetViews>
    <sheetView zoomScaleNormal="100" workbookViewId="0">
      <selection activeCell="C21" sqref="C21"/>
    </sheetView>
  </sheetViews>
  <sheetFormatPr defaultRowHeight="15" x14ac:dyDescent="0.25"/>
  <cols>
    <col min="1" max="1" width="29.7109375" customWidth="1"/>
    <col min="2" max="2" width="18.85546875" bestFit="1" customWidth="1"/>
    <col min="3" max="7" width="18.85546875" customWidth="1"/>
    <col min="8" max="13" width="18.85546875" bestFit="1" customWidth="1"/>
    <col min="14" max="16" width="9.42578125" bestFit="1" customWidth="1"/>
  </cols>
  <sheetData>
    <row r="1" spans="1:16" ht="15.75" thickBot="1" x14ac:dyDescent="0.3">
      <c r="A1" s="51" t="s">
        <v>191</v>
      </c>
      <c r="B1" s="46">
        <v>9</v>
      </c>
      <c r="C1" s="46">
        <v>18</v>
      </c>
      <c r="D1" s="46">
        <v>27</v>
      </c>
      <c r="E1" s="46">
        <v>36</v>
      </c>
      <c r="F1" s="46">
        <v>45</v>
      </c>
      <c r="G1" s="46">
        <v>54</v>
      </c>
      <c r="H1" s="46">
        <v>63</v>
      </c>
      <c r="I1" s="46">
        <v>72</v>
      </c>
      <c r="J1" s="46">
        <v>81</v>
      </c>
      <c r="K1" s="46">
        <v>90</v>
      </c>
      <c r="L1" s="46">
        <v>99</v>
      </c>
      <c r="M1" s="46">
        <v>108</v>
      </c>
      <c r="N1" s="46">
        <v>117</v>
      </c>
      <c r="O1" s="46">
        <v>126</v>
      </c>
      <c r="P1" s="46">
        <v>135</v>
      </c>
    </row>
    <row r="2" spans="1:16" ht="15.75" thickBot="1" x14ac:dyDescent="0.3">
      <c r="A2" s="51" t="s">
        <v>27</v>
      </c>
      <c r="B2" s="46">
        <v>2014</v>
      </c>
      <c r="C2" s="46">
        <v>2015</v>
      </c>
      <c r="D2" s="46">
        <v>2016</v>
      </c>
      <c r="E2" s="46">
        <v>2017</v>
      </c>
      <c r="F2" s="46">
        <v>2018</v>
      </c>
      <c r="G2" s="46">
        <v>2019</v>
      </c>
      <c r="H2" s="46">
        <v>2020</v>
      </c>
      <c r="I2" s="46">
        <v>2021</v>
      </c>
      <c r="J2" s="46">
        <v>2022</v>
      </c>
      <c r="K2" s="46">
        <v>2023</v>
      </c>
      <c r="L2" s="46">
        <v>2024</v>
      </c>
      <c r="M2" s="48">
        <v>2025</v>
      </c>
      <c r="N2" s="46">
        <v>2026</v>
      </c>
      <c r="O2" s="48">
        <v>2027</v>
      </c>
      <c r="P2" s="46">
        <v>2028</v>
      </c>
    </row>
    <row r="3" spans="1:16" x14ac:dyDescent="0.25">
      <c r="A3" s="52" t="s">
        <v>29</v>
      </c>
      <c r="B3" s="53">
        <f>LCC_standard!C19/(1+'Input params'!$D$2)^('Results - Standard'!B2-2014)</f>
        <v>10692.1244061466</v>
      </c>
      <c r="C3" s="53">
        <f>LCC_standard!D19/(1+'Input params'!$D$2)^('Results - Standard'!C2-2014)</f>
        <v>15740.196284260819</v>
      </c>
      <c r="D3" s="53">
        <f>LCC_standard!E19/(1+'Input params'!$D$2)^('Results - Standard'!D2-2014)</f>
        <v>22008.568358205088</v>
      </c>
      <c r="E3" s="53">
        <f>LCC_standard!F19/(1+'Input params'!$D$2)^('Results - Standard'!E2-2014)</f>
        <v>29650.006081282405</v>
      </c>
      <c r="F3" s="53">
        <f>LCC_standard!G19/(1+'Input params'!$D$2)^('Results - Standard'!F2-2014)</f>
        <v>38438.604740970499</v>
      </c>
      <c r="G3" s="53">
        <f>LCC_standard!H19/(1+'Input params'!$D$2)^('Results - Standard'!G2-2014)</f>
        <v>48119.584862344709</v>
      </c>
      <c r="H3" s="53">
        <f>LCC_standard!I19/(1+'Input params'!$D$2)^('Results - Standard'!H2-2014)</f>
        <v>58448.411866517548</v>
      </c>
      <c r="I3" s="53">
        <f>LCC_standard!J19/(1+'Input params'!$D$2)^('Results - Standard'!I2-2014)</f>
        <v>69201.070654374926</v>
      </c>
      <c r="J3" s="53">
        <f>LCC_standard!K19/(1+'Input params'!$D$2)^('Results - Standard'!J2-2014)</f>
        <v>80177.081208788484</v>
      </c>
      <c r="K3" s="53">
        <f>LCC_standard!L19/(1+'Input params'!$D$2)^('Results - Standard'!K2-2014)</f>
        <v>91199.946007017483</v>
      </c>
      <c r="L3" s="53">
        <f>LCC_standard!M19/(1+'Input params'!$D$2)^('Results - Standard'!L2-2014)</f>
        <v>102116.49047889588</v>
      </c>
      <c r="M3" s="53">
        <f>LCC_standard!N19/(1+'Input params'!$D$2)^('Results - Standard'!M2-2014)</f>
        <v>112795.66809786177</v>
      </c>
      <c r="N3" s="53">
        <f>LCC_standard!O19/(1+'Input params'!$D$2)^('Results - Standard'!N2-2014)</f>
        <v>123127.09478370921</v>
      </c>
      <c r="O3" s="53">
        <f>LCC_standard!P19/(1+'Input params'!$D$2)^('Results - Standard'!O2-2014)</f>
        <v>133019.45245978064</v>
      </c>
      <c r="P3" s="53">
        <f>LCC_standard!Q19/(1+'Input params'!$D$2)^('Results - Standard'!P2-2014)</f>
        <v>142398.84355864217</v>
      </c>
    </row>
    <row r="4" spans="1:16" x14ac:dyDescent="0.25">
      <c r="A4" s="54" t="s">
        <v>128</v>
      </c>
      <c r="B4" s="55">
        <f>LCC_standard!C23/(1+'Input params'!$D$2)^('Results - Standard'!B2-2014)</f>
        <v>4193.4599095602143</v>
      </c>
      <c r="C4" s="55">
        <f>LCC_standard!D23/(1+'Input params'!$D$2)^('Results - Standard'!C2-2014)</f>
        <v>6796.7175449410752</v>
      </c>
      <c r="D4" s="55">
        <f>LCC_standard!E23/(1+'Input params'!$D$2)^('Results - Standard'!D2-2014)</f>
        <v>8145.3735433639822</v>
      </c>
      <c r="E4" s="55">
        <f>LCC_standard!F23/(1+'Input params'!$D$2)^('Results - Standard'!E2-2014)</f>
        <v>9044.214484488064</v>
      </c>
      <c r="F4" s="55">
        <f>LCC_standard!G23/(1+'Input params'!$D$2)^('Results - Standard'!F2-2014)</f>
        <v>9680.4499126524515</v>
      </c>
      <c r="G4" s="55">
        <f>LCC_standard!H23/(1+'Input params'!$D$2)^('Results - Standard'!G2-2014)</f>
        <v>10139.017527436037</v>
      </c>
      <c r="H4" s="55">
        <f>LCC_standard!I23/(1+'Input params'!$D$2)^('Results - Standard'!H2-2014)</f>
        <v>10467.83334230477</v>
      </c>
      <c r="I4" s="55">
        <f>LCC_standard!J23/(1+'Input params'!$D$2)^('Results - Standard'!I2-2014)</f>
        <v>10697.402703952304</v>
      </c>
      <c r="J4" s="55">
        <f>LCC_standard!K23/(1+'Input params'!$D$2)^('Results - Standard'!J2-2014)</f>
        <v>10848.71676761104</v>
      </c>
      <c r="K4" s="55">
        <f>LCC_standard!L23/(1+'Input params'!$D$2)^('Results - Standard'!K2-2014)</f>
        <v>10937.022679606582</v>
      </c>
      <c r="L4" s="55">
        <f>LCC_standard!M23/(1+'Input params'!$D$2)^('Results - Standard'!L2-2014)</f>
        <v>10973.842442057039</v>
      </c>
      <c r="M4" s="55">
        <f>LCC_standard!N23/(1+'Input params'!$D$2)^('Results - Standard'!M2-2014)</f>
        <v>10968.148075173278</v>
      </c>
      <c r="N4" s="55">
        <f>LCC_standard!O23/(1+'Input params'!$D$2)^('Results - Standard'!N2-2014)</f>
        <v>10927.090757130458</v>
      </c>
      <c r="O4" s="55">
        <f>LCC_standard!P23/(1+'Input params'!$D$2)^('Results - Standard'!O2-2014)</f>
        <v>10856.476692299933</v>
      </c>
      <c r="P4" s="55">
        <f>LCC_standard!Q23/(1+'Input params'!$D$2)^('Results - Standard'!P2-2014)</f>
        <v>10761.090723811922</v>
      </c>
    </row>
    <row r="5" spans="1:16" x14ac:dyDescent="0.25">
      <c r="A5" s="54" t="s">
        <v>129</v>
      </c>
      <c r="B5" s="55">
        <f>LCC_standard!C29/(1+'Input params'!$D$2)^('Results - Standard'!B2-2014)</f>
        <v>4483.1295365245887</v>
      </c>
      <c r="C5" s="55">
        <f>LCC_standard!D29/(1+'Input params'!$D$2)^('Results - Standard'!C2-2014)</f>
        <v>21222.654054859795</v>
      </c>
      <c r="D5" s="55">
        <f>LCC_standard!E29/(1+'Input params'!$D$2)^('Results - Standard'!D2-2014)</f>
        <v>47053.38720375477</v>
      </c>
      <c r="E5" s="55">
        <f>LCC_standard!F29/(1+'Input params'!$D$2)^('Results - Standard'!E2-2014)</f>
        <v>80368.797985593992</v>
      </c>
      <c r="F5" s="55">
        <f>LCC_standard!G29/(1+'Input params'!$D$2)^('Results - Standard'!F2-2014)</f>
        <v>119607.76043706269</v>
      </c>
      <c r="G5" s="55">
        <f>LCC_standard!H29/(1+'Input params'!$D$2)^('Results - Standard'!G2-2014)</f>
        <v>163370.45028250702</v>
      </c>
      <c r="H5" s="55">
        <f>LCC_standard!I29/(1+'Input params'!$D$2)^('Results - Standard'!H2-2014)</f>
        <v>210409.50166740196</v>
      </c>
      <c r="I5" s="55">
        <f>LCC_standard!J29/(1+'Input params'!$D$2)^('Results - Standard'!I2-2014)</f>
        <v>259620.60850927423</v>
      </c>
      <c r="J5" s="55">
        <f>LCC_standard!K29/(1+'Input params'!$D$2)^('Results - Standard'!J2-2014)</f>
        <v>310033.6420819097</v>
      </c>
      <c r="K5" s="55">
        <f>LCC_standard!L29/(1+'Input params'!$D$2)^('Results - Standard'!K2-2014)</f>
        <v>360803.89895249612</v>
      </c>
      <c r="L5" s="55">
        <f>LCC_standard!M29/(1+'Input params'!$D$2)^('Results - Standard'!L2-2014)</f>
        <v>411203.32716890064</v>
      </c>
      <c r="M5" s="55">
        <f>LCC_standard!N29/(1+'Input params'!$D$2)^('Results - Standard'!M2-2014)</f>
        <v>460611.73242870159</v>
      </c>
      <c r="N5" s="55">
        <f>LCC_standard!O29/(1+'Input params'!$D$2)^('Results - Standard'!N2-2014)</f>
        <v>508508.02970570128</v>
      </c>
      <c r="O5" s="55">
        <f>LCC_standard!P29/(1+'Input params'!$D$2)^('Results - Standard'!O2-2014)</f>
        <v>554461.62461476901</v>
      </c>
      <c r="P5" s="55">
        <f>LCC_standard!Q29/(1+'Input params'!$D$2)^('Results - Standard'!P2-2014)</f>
        <v>598124.00736141799</v>
      </c>
    </row>
    <row r="6" spans="1:16" x14ac:dyDescent="0.25">
      <c r="A6" s="54" t="s">
        <v>30</v>
      </c>
      <c r="B6" s="55">
        <f>LCC_standard!C33/(1+'Input params'!$D$2)^('Results - Standard'!B2-2014)</f>
        <v>1325.9471183924165</v>
      </c>
      <c r="C6" s="55">
        <f>LCC_standard!D33/(1+'Input params'!$D$2)^('Results - Standard'!C2-2014)</f>
        <v>6276.891345525396</v>
      </c>
      <c r="D6" s="55">
        <f>LCC_standard!E33/(1+'Input params'!$D$2)^('Results - Standard'!D2-2014)</f>
        <v>13916.685356762509</v>
      </c>
      <c r="E6" s="55">
        <f>LCC_standard!F33/(1+'Input params'!$D$2)^('Results - Standard'!E2-2014)</f>
        <v>23770.175550241129</v>
      </c>
      <c r="F6" s="55">
        <f>LCC_standard!G33/(1+'Input params'!$D$2)^('Results - Standard'!F2-2014)</f>
        <v>35375.637486450745</v>
      </c>
      <c r="G6" s="55">
        <f>LCC_standard!H33/(1+'Input params'!$D$2)^('Results - Standard'!G2-2014)</f>
        <v>48319.053914844124</v>
      </c>
      <c r="H6" s="55">
        <f>LCC_standard!I33/(1+'Input params'!$D$2)^('Results - Standard'!H2-2014)</f>
        <v>62231.499256333351</v>
      </c>
      <c r="I6" s="55">
        <f>LCC_standard!J33/(1+'Input params'!$D$2)^('Results - Standard'!I2-2014)</f>
        <v>76786.359823772131</v>
      </c>
      <c r="J6" s="55">
        <f>LCC_standard!K33/(1+'Input params'!$D$2)^('Results - Standard'!J2-2014)</f>
        <v>91696.706725520547</v>
      </c>
      <c r="K6" s="55">
        <f>LCC_standard!L33/(1+'Input params'!$D$2)^('Results - Standard'!K2-2014)</f>
        <v>106712.7073226801</v>
      </c>
      <c r="L6" s="55">
        <f>LCC_standard!M33/(1+'Input params'!$D$2)^('Results - Standard'!L2-2014)</f>
        <v>121619.03025350772</v>
      </c>
      <c r="M6" s="55">
        <f>LCC_standard!N33/(1+'Input params'!$D$2)^('Results - Standard'!M2-2014)</f>
        <v>136232.24453715846</v>
      </c>
      <c r="N6" s="55">
        <f>LCC_standard!O33/(1+'Input params'!$D$2)^('Results - Standard'!N2-2014)</f>
        <v>150398.23212210275</v>
      </c>
      <c r="O6" s="55">
        <f>LCC_standard!P33/(1+'Input params'!$D$2)^('Results - Standard'!O2-2014)</f>
        <v>163989.63880643572</v>
      </c>
      <c r="P6" s="55">
        <f>LCC_standard!Q33/(1+'Input params'!$D$2)^('Results - Standard'!P2-2014)</f>
        <v>176903.38803304103</v>
      </c>
    </row>
    <row r="7" spans="1:16" ht="15.75" thickBot="1" x14ac:dyDescent="0.3">
      <c r="A7" s="54" t="s">
        <v>197</v>
      </c>
      <c r="B7" s="55">
        <v>350232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</row>
    <row r="8" spans="1:16" x14ac:dyDescent="0.25">
      <c r="A8" s="52" t="s">
        <v>127</v>
      </c>
      <c r="B8" s="53">
        <f>SUM(B3:B7)</f>
        <v>370926.66097062384</v>
      </c>
      <c r="C8" s="53">
        <f>SUM(C3:C7)</f>
        <v>50036.459229587083</v>
      </c>
      <c r="D8" s="53">
        <f t="shared" ref="D8:P8" si="0">SUM(D3:D7)</f>
        <v>91124.014462086343</v>
      </c>
      <c r="E8" s="53">
        <f t="shared" si="0"/>
        <v>142833.19410160559</v>
      </c>
      <c r="F8" s="53">
        <f t="shared" si="0"/>
        <v>203102.4525771364</v>
      </c>
      <c r="G8" s="53">
        <f t="shared" si="0"/>
        <v>269948.10658713192</v>
      </c>
      <c r="H8" s="53">
        <f t="shared" si="0"/>
        <v>341557.24613255763</v>
      </c>
      <c r="I8" s="53">
        <f t="shared" si="0"/>
        <v>416305.44169137359</v>
      </c>
      <c r="J8" s="53">
        <f t="shared" si="0"/>
        <v>492756.14678382978</v>
      </c>
      <c r="K8" s="53">
        <f t="shared" si="0"/>
        <v>569653.57496180036</v>
      </c>
      <c r="L8" s="53">
        <f t="shared" si="0"/>
        <v>645912.69034336135</v>
      </c>
      <c r="M8" s="53">
        <f t="shared" si="0"/>
        <v>720607.79313889518</v>
      </c>
      <c r="N8" s="53">
        <f t="shared" si="0"/>
        <v>792960.44736864371</v>
      </c>
      <c r="O8" s="53">
        <f t="shared" si="0"/>
        <v>862327.19257328531</v>
      </c>
      <c r="P8" s="53">
        <f t="shared" si="0"/>
        <v>928187.3296769131</v>
      </c>
    </row>
    <row r="9" spans="1:16" x14ac:dyDescent="0.25">
      <c r="A9" s="59" t="s">
        <v>104</v>
      </c>
      <c r="B9" s="61">
        <f>SUM(B8:M8)</f>
        <v>4314763.7809799891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6" ht="15.75" thickBot="1" x14ac:dyDescent="0.3">
      <c r="A10" s="60" t="s">
        <v>103</v>
      </c>
      <c r="B10" s="62">
        <f>B9/(2025-2019+1)</f>
        <v>616394.82585428411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3D9C-757D-4923-B5D5-8615431105C8}">
  <dimension ref="A2:S31"/>
  <sheetViews>
    <sheetView topLeftCell="A18" zoomScale="90" zoomScaleNormal="90" workbookViewId="0">
      <selection activeCell="F19" sqref="F19:H19"/>
    </sheetView>
  </sheetViews>
  <sheetFormatPr defaultRowHeight="15" x14ac:dyDescent="0.25"/>
  <cols>
    <col min="1" max="1" width="34.85546875" bestFit="1" customWidth="1"/>
    <col min="2" max="2" width="34.7109375" bestFit="1" customWidth="1"/>
    <col min="3" max="3" width="12" bestFit="1" customWidth="1"/>
    <col min="4" max="8" width="12.140625" bestFit="1" customWidth="1"/>
    <col min="9" max="9" width="12.28515625" bestFit="1" customWidth="1"/>
    <col min="10" max="17" width="12.140625" customWidth="1"/>
    <col min="18" max="18" width="14.7109375" bestFit="1" customWidth="1"/>
    <col min="19" max="19" width="13.7109375" bestFit="1" customWidth="1"/>
  </cols>
  <sheetData>
    <row r="2" spans="1:18" x14ac:dyDescent="0.25">
      <c r="B2" t="s">
        <v>194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</row>
    <row r="3" spans="1:18" ht="15.75" thickBot="1" x14ac:dyDescent="0.3">
      <c r="A3" t="s">
        <v>120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187</v>
      </c>
      <c r="P3" t="s">
        <v>188</v>
      </c>
      <c r="Q3" t="s">
        <v>189</v>
      </c>
      <c r="R3" t="s">
        <v>126</v>
      </c>
    </row>
    <row r="4" spans="1:18" x14ac:dyDescent="0.25">
      <c r="A4" s="1" t="s">
        <v>219</v>
      </c>
      <c r="B4" s="80" t="s">
        <v>119</v>
      </c>
      <c r="C4" s="53">
        <f>LCC_standard!C19</f>
        <v>10692.1244061466</v>
      </c>
      <c r="D4" s="53">
        <f>LCC_standard!D19</f>
        <v>16369.804135631253</v>
      </c>
      <c r="E4" s="53">
        <f>LCC_standard!E19</f>
        <v>23804.467536234624</v>
      </c>
      <c r="F4" s="53">
        <f>LCC_standard!F19</f>
        <v>33352.224440615653</v>
      </c>
      <c r="G4" s="53">
        <f>LCC_standard!G19</f>
        <v>44967.730790680929</v>
      </c>
      <c r="H4" s="53">
        <f>LCC_standard!H19</f>
        <v>58544.832585054814</v>
      </c>
      <c r="I4" s="53">
        <f>LCC_standard!I19</f>
        <v>73955.887135591969</v>
      </c>
      <c r="J4" s="53">
        <f>LCC_standard!J19</f>
        <v>91063.888031236682</v>
      </c>
      <c r="K4" s="53">
        <f>LCC_standard!K19</f>
        <v>109727.8718941782</v>
      </c>
      <c r="L4" s="53">
        <f>LCC_standard!L19</f>
        <v>129805.96044398964</v>
      </c>
      <c r="M4" s="53">
        <f>LCC_standard!M19</f>
        <v>151157.35142730418</v>
      </c>
      <c r="N4" s="53">
        <f>LCC_standard!N19</f>
        <v>173643.74878802255</v>
      </c>
      <c r="O4" s="53">
        <f>LCC_standard!O19</f>
        <v>197130.4457273552</v>
      </c>
      <c r="P4" s="53">
        <f>LCC_standard!P19</f>
        <v>221487.16624771451</v>
      </c>
      <c r="Q4" s="53">
        <f>LCC_standard!Q19</f>
        <v>246588.72355637696</v>
      </c>
      <c r="R4" s="56">
        <f>SUM(Tabell1[[#This Row],[2014]:[2024]])</f>
        <v>743442.14282666461</v>
      </c>
    </row>
    <row r="5" spans="1:18" x14ac:dyDescent="0.25">
      <c r="A5" s="3" t="s">
        <v>125</v>
      </c>
      <c r="B5" s="81" t="s">
        <v>133</v>
      </c>
      <c r="C5" s="55">
        <f>LCC_standard!C23</f>
        <v>4193.4599095602143</v>
      </c>
      <c r="D5" s="55">
        <f>LCC_standard!D23</f>
        <v>7068.5862467387187</v>
      </c>
      <c r="E5" s="55">
        <f>LCC_standard!E23</f>
        <v>8810.036024502484</v>
      </c>
      <c r="F5" s="55">
        <f>LCC_standard!F23</f>
        <v>10173.511281879182</v>
      </c>
      <c r="G5" s="55">
        <f>LCC_standard!G23</f>
        <v>11324.757194967726</v>
      </c>
      <c r="H5" s="55">
        <f>LCC_standard!H23</f>
        <v>12335.665102239529</v>
      </c>
      <c r="I5" s="55">
        <f>LCC_standard!I23</f>
        <v>13245.148610464779</v>
      </c>
      <c r="J5" s="55">
        <f>LCC_standard!J23</f>
        <v>14077.052173414244</v>
      </c>
      <c r="K5" s="55">
        <f>LCC_standard!K23</f>
        <v>14847.218004765216</v>
      </c>
      <c r="L5" s="55">
        <f>LCC_standard!L23</f>
        <v>15566.793572605733</v>
      </c>
      <c r="M5" s="55">
        <f>LCC_standard!M23</f>
        <v>16243.967558449302</v>
      </c>
      <c r="N5" s="55">
        <f>LCC_standard!N23</f>
        <v>16884.96004458992</v>
      </c>
      <c r="O5" s="55">
        <f>LCC_standard!O23</f>
        <v>17494.624357378987</v>
      </c>
      <c r="P5" s="55">
        <f>LCC_standard!P23</f>
        <v>18076.831723081341</v>
      </c>
      <c r="Q5" s="55">
        <f>LCC_standard!Q23</f>
        <v>18634.727356942123</v>
      </c>
      <c r="R5" s="74">
        <f>SUM(Tabell1[[#This Row],[2014]:[2024]])</f>
        <v>127886.19567958714</v>
      </c>
    </row>
    <row r="6" spans="1:18" x14ac:dyDescent="0.25">
      <c r="A6" s="3" t="s">
        <v>125</v>
      </c>
      <c r="B6" s="81" t="s">
        <v>134</v>
      </c>
      <c r="C6" s="55">
        <f>LCC_standard!C29</f>
        <v>4483.1295365245887</v>
      </c>
      <c r="D6" s="55">
        <f>LCC_standard!D29</f>
        <v>22071.560217054186</v>
      </c>
      <c r="E6" s="55">
        <f>LCC_standard!E29</f>
        <v>50892.943599581165</v>
      </c>
      <c r="F6" s="55">
        <f>LCC_standard!F29</f>
        <v>90403.967577267205</v>
      </c>
      <c r="G6" s="55">
        <f>LCC_standard!G29</f>
        <v>139924.16238972716</v>
      </c>
      <c r="H6" s="55">
        <f>LCC_standard!H29</f>
        <v>198765.13250260713</v>
      </c>
      <c r="I6" s="55">
        <f>LCC_standard!I29</f>
        <v>266235.14413202961</v>
      </c>
      <c r="J6" s="55">
        <f>LCC_standard!J29</f>
        <v>341643.00928190077</v>
      </c>
      <c r="K6" s="55">
        <f>LCC_standard!K29</f>
        <v>424302.44713772781</v>
      </c>
      <c r="L6" s="55">
        <f>LCC_standard!L29</f>
        <v>513536.45134681562</v>
      </c>
      <c r="M6" s="55">
        <f>LCC_standard!M29</f>
        <v>608681.37498117343</v>
      </c>
      <c r="N6" s="55">
        <f>LCC_standard!N29</f>
        <v>709090.59987368016</v>
      </c>
      <c r="O6" s="55">
        <f>LCC_standard!O29</f>
        <v>814137.73895919952</v>
      </c>
      <c r="P6" s="55">
        <f>LCC_standard!P29</f>
        <v>923219.36196632986</v>
      </c>
      <c r="Q6" s="55">
        <f>LCC_standard!Q29</f>
        <v>1035757.256293574</v>
      </c>
      <c r="R6" s="74">
        <f>SUM(Tabell1[[#This Row],[2014]:[2024]])</f>
        <v>2660939.3227024088</v>
      </c>
    </row>
    <row r="7" spans="1:18" ht="15.75" thickBot="1" x14ac:dyDescent="0.3">
      <c r="A7" s="4" t="s">
        <v>125</v>
      </c>
      <c r="B7" s="82" t="s">
        <v>30</v>
      </c>
      <c r="C7" s="75">
        <f>LCC_standard!C33</f>
        <v>1325.9471183924165</v>
      </c>
      <c r="D7" s="75">
        <f>LCC_standard!D33</f>
        <v>6527.9669993464122</v>
      </c>
      <c r="E7" s="75">
        <f>LCC_standard!E33</f>
        <v>15052.286881874332</v>
      </c>
      <c r="F7" s="75">
        <f>LCC_standard!F33</f>
        <v>26738.214750146439</v>
      </c>
      <c r="G7" s="75">
        <f>LCC_standard!G33</f>
        <v>41384.492328981294</v>
      </c>
      <c r="H7" s="75">
        <f>LCC_standard!H33</f>
        <v>58787.517186717203</v>
      </c>
      <c r="I7" s="75">
        <f>LCC_standard!I33</f>
        <v>78742.699558558292</v>
      </c>
      <c r="J7" s="75">
        <f>LCC_standard!J33</f>
        <v>101045.61110393991</v>
      </c>
      <c r="K7" s="75">
        <f>LCC_standard!K33</f>
        <v>125493.27484863657</v>
      </c>
      <c r="L7" s="75">
        <f>LCC_standard!L33</f>
        <v>151885.4568678473</v>
      </c>
      <c r="M7" s="75">
        <f>LCC_standard!M33</f>
        <v>180025.87447006605</v>
      </c>
      <c r="N7" s="75">
        <f>LCC_standard!N33</f>
        <v>209723.28145363627</v>
      </c>
      <c r="O7" s="75">
        <f>LCC_standard!O33</f>
        <v>240792.41524310733</v>
      </c>
      <c r="P7" s="75">
        <f>LCC_standard!P33</f>
        <v>273054.8030499958</v>
      </c>
      <c r="Q7" s="75">
        <f>LCC_standard!Q33</f>
        <v>306339.43055795698</v>
      </c>
      <c r="R7" s="76">
        <f>SUM(Tabell1[[#This Row],[2014]:[2024]])</f>
        <v>787009.34211450629</v>
      </c>
    </row>
    <row r="8" spans="1:18" x14ac:dyDescent="0.25">
      <c r="A8" s="1" t="s">
        <v>220</v>
      </c>
      <c r="B8" s="80" t="s">
        <v>119</v>
      </c>
      <c r="C8" s="53">
        <f>LCC_current_2018_standard_cross!C19</f>
        <v>7067</v>
      </c>
      <c r="D8" s="53">
        <f>LCC_current_2018_standard_cross!D19</f>
        <v>52418.5</v>
      </c>
      <c r="E8" s="53">
        <f>LCC_current_2018_standard_cross!E19</f>
        <v>7067</v>
      </c>
      <c r="F8" s="53">
        <f>LCC_current_2018_standard_cross!F19</f>
        <v>52418.5</v>
      </c>
      <c r="G8" s="53">
        <f>LCC_current_2018_standard_cross!G19</f>
        <v>7067</v>
      </c>
      <c r="H8" s="53">
        <f>LCC_current_2018_standard_cross!H19</f>
        <v>55295.220213157998</v>
      </c>
      <c r="I8" s="53">
        <f>LCC_current_2018_standard_cross!I19</f>
        <v>73955.887135591969</v>
      </c>
      <c r="J8" s="53">
        <f>LCC_current_2018_standard_cross!J19</f>
        <v>91063.888031236682</v>
      </c>
      <c r="K8" s="53">
        <f>LCC_current_2018_standard_cross!K19</f>
        <v>109727.8718941782</v>
      </c>
      <c r="L8" s="53">
        <f>LCC_current_2018_standard_cross!L19</f>
        <v>129805.96044398964</v>
      </c>
      <c r="M8" s="53">
        <f>LCC_current_2018_standard_cross!M19</f>
        <v>151157.35142730418</v>
      </c>
      <c r="N8" s="53">
        <f>LCC_current_2018_standard_cross!N19</f>
        <v>173643.74878802255</v>
      </c>
      <c r="O8" s="53">
        <f>LCC_current_2018_standard_cross!O19</f>
        <v>197130.4457273552</v>
      </c>
      <c r="P8" s="53">
        <f>LCC_current_2018_standard_cross!P19</f>
        <v>221487.16624771451</v>
      </c>
      <c r="Q8" s="53">
        <f>LCC_current_2018_standard_cross!Q19</f>
        <v>246588.72355637696</v>
      </c>
      <c r="R8" s="56">
        <f>SUM(Tabell1[[#This Row],[2014]:[2024]])</f>
        <v>737044.17914545874</v>
      </c>
    </row>
    <row r="9" spans="1:18" x14ac:dyDescent="0.25">
      <c r="A9" s="3" t="s">
        <v>144</v>
      </c>
      <c r="B9" s="81" t="s">
        <v>133</v>
      </c>
      <c r="C9" s="55">
        <f>LCC_current_2018_standard_cross!C23</f>
        <v>0</v>
      </c>
      <c r="D9" s="55">
        <f>LCC_current_2018_standard_cross!D23</f>
        <v>72060.958904109604</v>
      </c>
      <c r="E9" s="55">
        <f>LCC_current_2018_standard_cross!E23</f>
        <v>0</v>
      </c>
      <c r="F9" s="55">
        <f>LCC_current_2018_standard_cross!F23</f>
        <v>72060.958904109604</v>
      </c>
      <c r="G9" s="55">
        <f>LCC_current_2018_standard_cross!G23</f>
        <v>0</v>
      </c>
      <c r="H9" s="55">
        <f>LCC_current_2018_standard_cross!H23</f>
        <v>12335.665102239529</v>
      </c>
      <c r="I9" s="55">
        <f>LCC_current_2018_standard_cross!I23</f>
        <v>13245.148610464779</v>
      </c>
      <c r="J9" s="55">
        <f>LCC_current_2018_standard_cross!J23</f>
        <v>14077.052173414244</v>
      </c>
      <c r="K9" s="55">
        <f>LCC_current_2018_standard_cross!K23</f>
        <v>14847.218004765216</v>
      </c>
      <c r="L9" s="55">
        <f>LCC_current_2018_standard_cross!L23</f>
        <v>15566.793572605733</v>
      </c>
      <c r="M9" s="55">
        <f>LCC_current_2018_standard_cross!M23</f>
        <v>16243.967558449302</v>
      </c>
      <c r="N9" s="55">
        <f>LCC_current_2018_standard_cross!N23</f>
        <v>16884.96004458992</v>
      </c>
      <c r="O9" s="55">
        <f>LCC_current_2018_standard_cross!O23</f>
        <v>17494.624357378987</v>
      </c>
      <c r="P9" s="55">
        <f>LCC_current_2018_standard_cross!P23</f>
        <v>18076.831723081341</v>
      </c>
      <c r="Q9" s="55">
        <f>LCC_current_2018_standard_cross!Q23</f>
        <v>18634.727356942123</v>
      </c>
      <c r="R9" s="74">
        <f>SUM(Tabell1[[#This Row],[2014]:[2024]])</f>
        <v>230437.76283015803</v>
      </c>
    </row>
    <row r="10" spans="1:18" x14ac:dyDescent="0.25">
      <c r="A10" s="3" t="s">
        <v>144</v>
      </c>
      <c r="B10" s="81" t="s">
        <v>134</v>
      </c>
      <c r="C10" s="55">
        <f>LCC_current_2018_standard_cross!C29</f>
        <v>0</v>
      </c>
      <c r="D10" s="55">
        <f>LCC_current_2018_standard_cross!D29</f>
        <v>0</v>
      </c>
      <c r="E10" s="55">
        <f>LCC_current_2018_standard_cross!E29</f>
        <v>0</v>
      </c>
      <c r="F10" s="55">
        <f>LCC_current_2018_standard_cross!F29</f>
        <v>0</v>
      </c>
      <c r="G10" s="55">
        <f>LCC_current_2018_standard_cross!G29</f>
        <v>0</v>
      </c>
      <c r="H10" s="55">
        <f>LCC_current_2018_standard_cross!H29</f>
        <v>183989.45812103662</v>
      </c>
      <c r="I10" s="55">
        <f>LCC_current_2018_standard_cross!I29</f>
        <v>266235.14413202961</v>
      </c>
      <c r="J10" s="55">
        <f>LCC_current_2018_standard_cross!J29</f>
        <v>341643.00928190077</v>
      </c>
      <c r="K10" s="55">
        <f>LCC_current_2018_standard_cross!K29</f>
        <v>424302.44713772781</v>
      </c>
      <c r="L10" s="55">
        <f>LCC_current_2018_standard_cross!L29</f>
        <v>513536.45134681562</v>
      </c>
      <c r="M10" s="55">
        <f>LCC_current_2018_standard_cross!M29</f>
        <v>608681.37498117343</v>
      </c>
      <c r="N10" s="55">
        <f>LCC_current_2018_standard_cross!N29</f>
        <v>709090.59987368016</v>
      </c>
      <c r="O10" s="55">
        <f>LCC_current_2018_standard_cross!O29</f>
        <v>814137.73895919952</v>
      </c>
      <c r="P10" s="55">
        <f>LCC_current_2018_standard_cross!P29</f>
        <v>923219.36196632986</v>
      </c>
      <c r="Q10" s="55">
        <f>LCC_current_2018_standard_cross!Q29</f>
        <v>1035757.256293574</v>
      </c>
      <c r="R10" s="74">
        <f>SUM(Tabell1[[#This Row],[2014]:[2024]])</f>
        <v>2338387.8850006838</v>
      </c>
    </row>
    <row r="11" spans="1:18" ht="15.75" thickBot="1" x14ac:dyDescent="0.3">
      <c r="A11" s="3" t="s">
        <v>144</v>
      </c>
      <c r="B11" s="82" t="s">
        <v>30</v>
      </c>
      <c r="C11" s="75">
        <f>LCC_current_2018_standard_cross!C33</f>
        <v>0</v>
      </c>
      <c r="D11" s="75">
        <f>LCC_current_2018_standard_cross!D33</f>
        <v>0</v>
      </c>
      <c r="E11" s="75">
        <f>LCC_current_2018_standard_cross!E33</f>
        <v>0</v>
      </c>
      <c r="F11" s="75">
        <f>LCC_current_2018_standard_cross!F33</f>
        <v>0</v>
      </c>
      <c r="G11" s="75">
        <f>LCC_current_2018_standard_cross!G33</f>
        <v>0</v>
      </c>
      <c r="H11" s="75">
        <f>LCC_current_2018_standard_cross!H33</f>
        <v>54417.408603208372</v>
      </c>
      <c r="I11" s="75">
        <f>LCC_current_2018_standard_cross!I33</f>
        <v>78742.699558558292</v>
      </c>
      <c r="J11" s="75">
        <f>LCC_current_2018_standard_cross!J33</f>
        <v>101045.61110393991</v>
      </c>
      <c r="K11" s="75">
        <f>LCC_current_2018_standard_cross!K33</f>
        <v>125493.27484863657</v>
      </c>
      <c r="L11" s="75">
        <f>LCC_current_2018_standard_cross!L33</f>
        <v>151885.4568678473</v>
      </c>
      <c r="M11" s="75">
        <f>LCC_current_2018_standard_cross!M33</f>
        <v>180025.87447006605</v>
      </c>
      <c r="N11" s="75">
        <f>LCC_current_2018_standard_cross!N33</f>
        <v>209723.28145363627</v>
      </c>
      <c r="O11" s="75">
        <f>LCC_current_2018_standard_cross!O33</f>
        <v>240792.41524310733</v>
      </c>
      <c r="P11" s="75">
        <f>LCC_current_2018_standard_cross!P33</f>
        <v>273054.8030499958</v>
      </c>
      <c r="Q11" s="75">
        <f>LCC_current_2018_standard_cross!Q33</f>
        <v>306339.43055795698</v>
      </c>
      <c r="R11" s="76">
        <f>SUM(Tabell1[[#This Row],[2014]:[2024]])</f>
        <v>691610.32545225648</v>
      </c>
    </row>
    <row r="12" spans="1:18" x14ac:dyDescent="0.25">
      <c r="A12" t="s">
        <v>219</v>
      </c>
      <c r="B12" s="81" t="s">
        <v>121</v>
      </c>
      <c r="C12" s="55">
        <f>SUM(C4:C7)</f>
        <v>20694.660970623823</v>
      </c>
      <c r="D12" s="55">
        <f>SUM(D4:D7)</f>
        <v>52037.917598770575</v>
      </c>
      <c r="E12" s="55">
        <f>SUM(E4:E7)</f>
        <v>98559.734042192606</v>
      </c>
      <c r="F12" s="55">
        <f t="shared" ref="F12:Q12" si="0">SUM(F4:F7)</f>
        <v>160667.91804990848</v>
      </c>
      <c r="G12" s="55">
        <f t="shared" si="0"/>
        <v>237601.1427043571</v>
      </c>
      <c r="H12" s="55">
        <f t="shared" si="0"/>
        <v>328433.14737661864</v>
      </c>
      <c r="I12" s="55">
        <f t="shared" si="0"/>
        <v>432178.87943664467</v>
      </c>
      <c r="J12" s="55">
        <f t="shared" si="0"/>
        <v>547829.56059049163</v>
      </c>
      <c r="K12" s="55">
        <f t="shared" si="0"/>
        <v>674370.81188530778</v>
      </c>
      <c r="L12" s="55">
        <f t="shared" si="0"/>
        <v>810794.66223125835</v>
      </c>
      <c r="M12" s="55">
        <f t="shared" si="0"/>
        <v>956108.56843699294</v>
      </c>
      <c r="N12" s="55">
        <f t="shared" si="0"/>
        <v>1109342.5901599289</v>
      </c>
      <c r="O12" s="55">
        <f t="shared" si="0"/>
        <v>1269555.224287041</v>
      </c>
      <c r="P12" s="55">
        <f t="shared" si="0"/>
        <v>1435838.1629871216</v>
      </c>
      <c r="Q12" s="55">
        <f t="shared" si="0"/>
        <v>1607320.1377648499</v>
      </c>
      <c r="R12" s="84">
        <f>SUM(Tabell1[[#This Row],[2014]:[2024]])</f>
        <v>4319277.0033231666</v>
      </c>
    </row>
    <row r="13" spans="1:18" ht="15.75" thickBot="1" x14ac:dyDescent="0.3">
      <c r="A13" s="3" t="s">
        <v>220</v>
      </c>
      <c r="B13" s="81" t="s">
        <v>121</v>
      </c>
      <c r="C13" s="55">
        <f>SUM(C8:C11)</f>
        <v>7067</v>
      </c>
      <c r="D13" s="55">
        <f>SUM(D8:D11)</f>
        <v>124479.4589041096</v>
      </c>
      <c r="E13" s="55">
        <f t="shared" ref="E13:Q13" si="1">SUM(E8:E11)</f>
        <v>7067</v>
      </c>
      <c r="F13" s="55">
        <f t="shared" si="1"/>
        <v>124479.4589041096</v>
      </c>
      <c r="G13" s="55">
        <f t="shared" si="1"/>
        <v>7067</v>
      </c>
      <c r="H13" s="55">
        <f t="shared" si="1"/>
        <v>306037.75203964254</v>
      </c>
      <c r="I13" s="55">
        <f>SUM(I8:I11)</f>
        <v>432178.87943664467</v>
      </c>
      <c r="J13" s="55">
        <f t="shared" si="1"/>
        <v>547829.56059049163</v>
      </c>
      <c r="K13" s="55">
        <f t="shared" si="1"/>
        <v>674370.81188530778</v>
      </c>
      <c r="L13" s="55">
        <f t="shared" si="1"/>
        <v>810794.66223125835</v>
      </c>
      <c r="M13" s="55">
        <f t="shared" si="1"/>
        <v>956108.56843699294</v>
      </c>
      <c r="N13" s="55">
        <f t="shared" si="1"/>
        <v>1109342.5901599289</v>
      </c>
      <c r="O13" s="55">
        <f t="shared" si="1"/>
        <v>1269555.224287041</v>
      </c>
      <c r="P13" s="55">
        <f t="shared" si="1"/>
        <v>1435838.1629871216</v>
      </c>
      <c r="Q13" s="55">
        <f t="shared" si="1"/>
        <v>1607320.1377648499</v>
      </c>
      <c r="R13" s="84">
        <f>SUM(Tabell1[[#This Row],[2014]:[2024]])</f>
        <v>3997480.1524285567</v>
      </c>
    </row>
    <row r="14" spans="1:18" ht="15.75" thickBot="1" x14ac:dyDescent="0.3">
      <c r="A14" s="1" t="s">
        <v>199</v>
      </c>
      <c r="B14" s="80" t="s">
        <v>216</v>
      </c>
      <c r="C14" s="53">
        <f>C12/(1+'Input params'!$D$2)^(2014-Tabell1[[#Headers],[2014]])</f>
        <v>20694.660970623823</v>
      </c>
      <c r="D14" s="53">
        <f>D12/(1+'Input params'!$D$2)^(2014-Tabell1[[#Headers],[2015]])</f>
        <v>54119.434302721405</v>
      </c>
      <c r="E14" s="53">
        <f>E12/(1+'Input params'!$D$2)^(2014-Tabell1[[#Headers],[2016]])</f>
        <v>106602.20834003553</v>
      </c>
      <c r="F14" s="53">
        <f>F12/(1+'Input params'!$D$2)^(2014-Tabell1[[#Headers],[2017]])</f>
        <v>180729.55696929226</v>
      </c>
      <c r="G14" s="53">
        <f>G12/(1+'Input params'!$D$2)^(2014-Tabell1[[#Headers],[2018]])</f>
        <v>277959.73065847374</v>
      </c>
      <c r="H14" s="53">
        <f>H12/(1+'Input params'!$D$2)^(2014-Tabell1[[#Headers],[2019]])</f>
        <v>399589.14200013014</v>
      </c>
      <c r="I14" s="53">
        <f>I12/(1+'Input params'!$D$2)^(2014-Tabell1[[#Headers],[2020]])</f>
        <v>546844.15554347646</v>
      </c>
      <c r="J14" s="53">
        <f>J12/(1+'Input params'!$D$2)^(2014-Tabell1[[#Headers],[2021]])</f>
        <v>720906.32838583412</v>
      </c>
      <c r="K14" s="53">
        <f>K12/(1+'Input params'!$D$2)^(2014-Tabell1[[#Headers],[2022]])</f>
        <v>922923.02164290939</v>
      </c>
      <c r="L14" s="53">
        <f>L12/(1+'Input params'!$D$2)^(2014-Tabell1[[#Headers],[2023]])</f>
        <v>1154013.6202020382</v>
      </c>
      <c r="M14" s="53">
        <f>M12/(1+'Input params'!$D$2)^(2014-Tabell1[[#Headers],[2024]])</f>
        <v>1415274.2441903187</v>
      </c>
      <c r="N14" s="53">
        <f>N12/(1+'Input params'!$D$2)^(2014-Tabell1[[#Headers],[2025]])</f>
        <v>1707781.950264778</v>
      </c>
      <c r="O14" s="53">
        <f>O12/(1+'Input params'!$D$2)^(2014-Tabell1[[#Headers],[2026]])</f>
        <v>2032598.8173344722</v>
      </c>
      <c r="P14" s="53">
        <f>P12/(1+'Input params'!$D$2)^(2014-Tabell1[[#Headers],[2027]])</f>
        <v>2390776.0859750728</v>
      </c>
      <c r="Q14" s="53">
        <f>Q12/(1+'Input params'!$D$2)^(2014-Tabell1[[#Headers],[2028]])</f>
        <v>2783358.4263250856</v>
      </c>
      <c r="R14" s="83">
        <f>SUM(Tabell1[[#This Row],[2014]:[2024]])</f>
        <v>5799656.1032058531</v>
      </c>
    </row>
    <row r="15" spans="1:18" x14ac:dyDescent="0.25">
      <c r="A15" s="3" t="s">
        <v>200</v>
      </c>
      <c r="B15" s="80" t="s">
        <v>216</v>
      </c>
      <c r="C15" s="55">
        <f>C13/(1+'Input params'!$D$2)^(2014-Tabell1[[#Headers],[2014]])</f>
        <v>7067</v>
      </c>
      <c r="D15" s="55">
        <f>D13/(1+'Input params'!$D$2)^(2014-Tabell1[[#Headers],[2015]])</f>
        <v>129458.637260274</v>
      </c>
      <c r="E15" s="55">
        <f>E13/(1+'Input params'!$D$2)^(2014-Tabell1[[#Headers],[2016]])</f>
        <v>7643.6672000000008</v>
      </c>
      <c r="F15" s="55">
        <f>F13/(1+'Input params'!$D$2)^(2014-Tabell1[[#Headers],[2017]])</f>
        <v>140022.46206071234</v>
      </c>
      <c r="G15" s="55">
        <f>G13/(1+'Input params'!$D$2)^(2014-Tabell1[[#Headers],[2018]])</f>
        <v>8267.390443520002</v>
      </c>
      <c r="H15" s="55">
        <f>H13/(1+'Input params'!$D$2)^(2014-Tabell1[[#Headers],[2019]])</f>
        <v>372341.71926300274</v>
      </c>
      <c r="I15" s="55">
        <f>I13/(1+'Input params'!$D$2)^(2014-Tabell1[[#Headers],[2020]])</f>
        <v>546844.15554347646</v>
      </c>
      <c r="J15" s="55">
        <f>J13/(1+'Input params'!$D$2)^(2014-Tabell1[[#Headers],[2021]])</f>
        <v>720906.32838583412</v>
      </c>
      <c r="K15" s="55">
        <f>K13/(1+'Input params'!$D$2)^(2014-Tabell1[[#Headers],[2022]])</f>
        <v>922923.02164290939</v>
      </c>
      <c r="L15" s="55">
        <f>L13/(1+'Input params'!$D$2)^(2014-Tabell1[[#Headers],[2023]])</f>
        <v>1154013.6202020382</v>
      </c>
      <c r="M15" s="55">
        <f>M13/(1+'Input params'!$D$2)^(2014-Tabell1[[#Headers],[2024]])</f>
        <v>1415274.2441903187</v>
      </c>
      <c r="N15" s="55">
        <f>N13/(1+'Input params'!$D$2)^(2014-Tabell1[[#Headers],[2025]])</f>
        <v>1707781.950264778</v>
      </c>
      <c r="O15" s="55">
        <f>O13/(1+'Input params'!$D$2)^(2014-Tabell1[[#Headers],[2026]])</f>
        <v>2032598.8173344722</v>
      </c>
      <c r="P15" s="55">
        <f>P13/(1+'Input params'!$D$2)^(2014-Tabell1[[#Headers],[2027]])</f>
        <v>2390776.0859750728</v>
      </c>
      <c r="Q15" s="55">
        <f>Q13/(1+'Input params'!$D$2)^(2014-Tabell1[[#Headers],[2028]])</f>
        <v>2783358.4263250856</v>
      </c>
      <c r="R15" s="84">
        <f>SUM(Tabell1[[#This Row],[2014]:[2024]])</f>
        <v>5424762.2461920856</v>
      </c>
    </row>
    <row r="16" spans="1:18" x14ac:dyDescent="0.25"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9" ht="60" x14ac:dyDescent="0.25">
      <c r="A17" s="55"/>
      <c r="C17" t="s">
        <v>130</v>
      </c>
      <c r="D17" s="73" t="s">
        <v>131</v>
      </c>
      <c r="E17" s="73" t="s">
        <v>137</v>
      </c>
      <c r="F17" s="73" t="s">
        <v>138</v>
      </c>
      <c r="G17" s="73" t="s">
        <v>132</v>
      </c>
      <c r="H17" s="73" t="s">
        <v>193</v>
      </c>
    </row>
    <row r="18" spans="1:19" x14ac:dyDescent="0.25">
      <c r="A18" s="78" t="s">
        <v>136</v>
      </c>
      <c r="B18" t="s">
        <v>139</v>
      </c>
      <c r="C18" s="71">
        <f>L29</f>
        <v>400948.80020017672</v>
      </c>
      <c r="D18" s="49">
        <f>SUM(C8:L8)/(SUM(C13:L13)+'Input params'!$D$22)</f>
        <v>0.17430397347868945</v>
      </c>
      <c r="E18" s="49">
        <f>SUM(C9:L9)/(SUM(C13:L13)+'Input params'!$D$22)</f>
        <v>6.3723620064556161E-2</v>
      </c>
      <c r="F18" s="49">
        <f>SUM(C10:L10)/(SUM(C13:L13)+'Input params'!$D$22)</f>
        <v>0.51459548736158589</v>
      </c>
      <c r="G18" s="49">
        <f>SUM(C11:L11)/(SUM(C13:L13)+'Input params'!$D$22)</f>
        <v>0.15219868131086595</v>
      </c>
      <c r="H18" s="49">
        <f>C31/(SUM(C13:L13)+'Input params'!$D$22)</f>
        <v>9.5178237784302663E-2</v>
      </c>
      <c r="I18" s="77">
        <f>SUM(D18:H18)</f>
        <v>1.0000000000000002</v>
      </c>
    </row>
    <row r="19" spans="1:19" x14ac:dyDescent="0.25">
      <c r="A19" s="72" t="s">
        <v>135</v>
      </c>
      <c r="B19" s="70" t="s">
        <v>125</v>
      </c>
      <c r="C19" s="71">
        <f>L30</f>
        <v>438438.18590155349</v>
      </c>
      <c r="D19" s="49">
        <f>SUM(C4:L4)/(SUM(C12:L12)+'Input params'!$D$22)</f>
        <v>0.16081190561851222</v>
      </c>
      <c r="E19" s="49">
        <f>SUM(C5:L5)/(SUM(C12:L12)+'Input params'!$D$22)</f>
        <v>3.0312106122528094E-2</v>
      </c>
      <c r="F19" s="49">
        <f>SUM(C6:L6)/(SUM(C12:L12)+'Input params'!$D$22)</f>
        <v>0.55721084887905026</v>
      </c>
      <c r="G19" s="49">
        <f>SUM(C7:L7)/(SUM(C12:L12)+'Input params'!$D$22)</f>
        <v>0.16480275963226496</v>
      </c>
      <c r="H19" s="49">
        <f>C31/(SUM(C12:L12)+'Input params'!$D$22)</f>
        <v>8.6862379747644519E-2</v>
      </c>
      <c r="I19" s="77">
        <f>SUM(D19:H19)</f>
        <v>1</v>
      </c>
      <c r="J19" s="55"/>
      <c r="K19" s="55"/>
      <c r="L19" s="55"/>
      <c r="M19" s="55"/>
      <c r="N19" s="55"/>
      <c r="O19" s="55"/>
      <c r="P19" s="55"/>
      <c r="Q19" s="55"/>
    </row>
    <row r="20" spans="1:19" x14ac:dyDescent="0.25">
      <c r="D20" s="55"/>
      <c r="E20" s="55"/>
      <c r="F20" s="55"/>
      <c r="G20" s="55"/>
      <c r="H20" s="55"/>
    </row>
    <row r="21" spans="1:19" x14ac:dyDescent="0.25">
      <c r="D21" s="55">
        <f>D18*$C$18</f>
        <v>69886.969036403956</v>
      </c>
      <c r="E21" s="55">
        <f t="shared" ref="E21:H21" si="2">E18*$C$18</f>
        <v>25549.909009295701</v>
      </c>
      <c r="F21" s="55">
        <f t="shared" si="2"/>
        <v>206326.44324605307</v>
      </c>
      <c r="G21" s="55">
        <f t="shared" si="2"/>
        <v>61023.87866364076</v>
      </c>
      <c r="H21" s="55">
        <f t="shared" si="2"/>
        <v>38161.60024478328</v>
      </c>
    </row>
    <row r="22" spans="1:19" x14ac:dyDescent="0.25">
      <c r="D22" s="55">
        <f>D19*$C$19</f>
        <v>70506.080170752335</v>
      </c>
      <c r="E22" s="55">
        <f t="shared" ref="E22:H22" si="3">E19*$C$19</f>
        <v>13289.98481921659</v>
      </c>
      <c r="F22" s="55">
        <f t="shared" si="3"/>
        <v>244302.51374719545</v>
      </c>
      <c r="G22" s="55">
        <f t="shared" si="3"/>
        <v>72255.822964740015</v>
      </c>
      <c r="H22" s="55">
        <f t="shared" si="3"/>
        <v>38083.784199649104</v>
      </c>
    </row>
    <row r="23" spans="1:19" x14ac:dyDescent="0.25">
      <c r="S23" s="55"/>
    </row>
    <row r="24" spans="1:19" x14ac:dyDescent="0.25">
      <c r="S24" s="55"/>
    </row>
    <row r="25" spans="1:19" x14ac:dyDescent="0.25">
      <c r="S25" s="55"/>
    </row>
    <row r="26" spans="1:19" x14ac:dyDescent="0.25">
      <c r="B26" t="s">
        <v>194</v>
      </c>
      <c r="C26">
        <v>1</v>
      </c>
      <c r="D26">
        <v>2</v>
      </c>
      <c r="E26">
        <v>3</v>
      </c>
      <c r="F26">
        <f t="shared" ref="F26:L26" si="4">F28-2014+1</f>
        <v>4</v>
      </c>
      <c r="G26">
        <f t="shared" si="4"/>
        <v>5</v>
      </c>
      <c r="H26">
        <f t="shared" si="4"/>
        <v>6</v>
      </c>
      <c r="I26">
        <f t="shared" si="4"/>
        <v>7</v>
      </c>
      <c r="J26">
        <f t="shared" si="4"/>
        <v>8</v>
      </c>
      <c r="K26">
        <f t="shared" si="4"/>
        <v>9</v>
      </c>
      <c r="L26">
        <f t="shared" si="4"/>
        <v>10</v>
      </c>
      <c r="M26">
        <f t="shared" ref="M26:Q26" si="5">M28-2014+1</f>
        <v>11</v>
      </c>
      <c r="N26">
        <f t="shared" si="5"/>
        <v>12</v>
      </c>
      <c r="O26">
        <f t="shared" si="5"/>
        <v>13</v>
      </c>
      <c r="P26">
        <f t="shared" si="5"/>
        <v>14</v>
      </c>
      <c r="Q26">
        <f t="shared" si="5"/>
        <v>15</v>
      </c>
      <c r="S26" s="55"/>
    </row>
    <row r="27" spans="1:19" x14ac:dyDescent="0.25">
      <c r="B27" t="s">
        <v>16</v>
      </c>
      <c r="C27">
        <v>9</v>
      </c>
      <c r="D27">
        <v>18</v>
      </c>
      <c r="E27">
        <v>27</v>
      </c>
      <c r="F27">
        <v>36</v>
      </c>
      <c r="G27">
        <v>45</v>
      </c>
      <c r="H27">
        <v>54</v>
      </c>
      <c r="I27">
        <v>63</v>
      </c>
      <c r="J27">
        <v>72</v>
      </c>
      <c r="K27">
        <v>81</v>
      </c>
      <c r="L27">
        <v>90</v>
      </c>
      <c r="M27">
        <v>99</v>
      </c>
      <c r="N27">
        <v>108</v>
      </c>
      <c r="O27">
        <v>117</v>
      </c>
      <c r="P27">
        <v>126</v>
      </c>
      <c r="Q27">
        <v>135</v>
      </c>
    </row>
    <row r="28" spans="1:19" x14ac:dyDescent="0.25">
      <c r="B28" t="s">
        <v>27</v>
      </c>
      <c r="C28">
        <v>2014</v>
      </c>
      <c r="D28">
        <v>2015</v>
      </c>
      <c r="E28">
        <v>2016</v>
      </c>
      <c r="F28">
        <v>2017</v>
      </c>
      <c r="G28">
        <v>2018</v>
      </c>
      <c r="H28">
        <v>2019</v>
      </c>
      <c r="I28">
        <v>2020</v>
      </c>
      <c r="J28">
        <v>2021</v>
      </c>
      <c r="K28">
        <v>2022</v>
      </c>
      <c r="L28">
        <v>2023</v>
      </c>
      <c r="M28">
        <v>2024</v>
      </c>
      <c r="N28">
        <v>2025</v>
      </c>
      <c r="O28">
        <v>2026</v>
      </c>
      <c r="P28">
        <v>2027</v>
      </c>
      <c r="Q28">
        <v>2028</v>
      </c>
    </row>
    <row r="29" spans="1:19" x14ac:dyDescent="0.25">
      <c r="B29" t="s">
        <v>217</v>
      </c>
      <c r="C29" s="55">
        <f>SUM($C$15:C15)/C26</f>
        <v>7067</v>
      </c>
      <c r="D29" s="55">
        <f>SUM($C$15:D15)/D26</f>
        <v>68262.818630137001</v>
      </c>
      <c r="E29" s="55">
        <f>SUM($C$15:E15)/E26</f>
        <v>48056.43482009133</v>
      </c>
      <c r="F29" s="55">
        <f>SUM($C$15:F15)/F26</f>
        <v>71047.941630246583</v>
      </c>
      <c r="G29" s="55">
        <f>SUM($C$15:G15)/G26</f>
        <v>58491.831392901266</v>
      </c>
      <c r="H29" s="55">
        <f>SUM($C$15:H15)/H26</f>
        <v>110800.14603791817</v>
      </c>
      <c r="I29" s="55">
        <f>SUM($C$15:I15)/I26</f>
        <v>173092.14739585508</v>
      </c>
      <c r="J29" s="107">
        <f>SUM($C$15:J15)/J26</f>
        <v>241568.92001960246</v>
      </c>
      <c r="K29" s="55">
        <f>SUM($C$15:K15)/K26</f>
        <v>317274.93131108099</v>
      </c>
      <c r="L29" s="55">
        <f>SUM($C$15:L15)/L26</f>
        <v>400948.80020017672</v>
      </c>
      <c r="M29" s="135">
        <f>SUM($C$15:M15)/M26</f>
        <v>493160.20419928053</v>
      </c>
      <c r="N29" s="55">
        <f>SUM($C$15:N15)/N26</f>
        <v>594378.68303807196</v>
      </c>
      <c r="O29" s="55">
        <f>SUM($C$15:O15)/O26</f>
        <v>705011.00106087199</v>
      </c>
      <c r="P29" s="55">
        <f>SUM($C$15:P15)/P26</f>
        <v>825422.79284045775</v>
      </c>
      <c r="Q29" s="55">
        <f>SUM($C$15:Q15)/Q26</f>
        <v>955951.83507276629</v>
      </c>
    </row>
    <row r="30" spans="1:19" x14ac:dyDescent="0.25">
      <c r="B30" t="s">
        <v>218</v>
      </c>
      <c r="C30" s="55">
        <f>SUM($C$14:C14)/C26</f>
        <v>20694.660970623823</v>
      </c>
      <c r="D30" s="55">
        <f>SUM($C$14:D14)/D26</f>
        <v>37407.047636672614</v>
      </c>
      <c r="E30" s="55">
        <f>SUM($C$14:E14)/E26</f>
        <v>60472.101204460254</v>
      </c>
      <c r="F30" s="55">
        <f>SUM($C$14:F14)/F26</f>
        <v>90536.465145668248</v>
      </c>
      <c r="G30" s="55">
        <f>SUM($C$14:G14)/G26</f>
        <v>128021.11824822934</v>
      </c>
      <c r="H30" s="55">
        <f>SUM($C$14:H14)/H26</f>
        <v>173282.4555402128</v>
      </c>
      <c r="I30" s="55">
        <f>SUM($C$14:I14)/I26</f>
        <v>226648.41268353615</v>
      </c>
      <c r="J30" s="55">
        <f>SUM($C$14:J14)/J26</f>
        <v>288430.65214632341</v>
      </c>
      <c r="K30" s="55">
        <f>SUM($C$14:K14)/K26</f>
        <v>358929.80431261077</v>
      </c>
      <c r="L30" s="135">
        <f>SUM($C$14:L14)/L26</f>
        <v>438438.18590155349</v>
      </c>
      <c r="M30" s="55">
        <f>SUM($C$14:M14)/M26</f>
        <v>527241.46392780484</v>
      </c>
      <c r="N30" s="107">
        <f>SUM($C$14:N14)/N26</f>
        <v>625619.83778921922</v>
      </c>
      <c r="O30" s="107">
        <f>SUM($C$14:O14)/O26</f>
        <v>733848.99006193108</v>
      </c>
      <c r="P30" s="55">
        <f>SUM($C$14:P14)/P26</f>
        <v>852200.92548429838</v>
      </c>
      <c r="Q30" s="55">
        <f>SUM($C$14:Q14)/Q26</f>
        <v>980944.75887368422</v>
      </c>
    </row>
    <row r="31" spans="1:19" x14ac:dyDescent="0.25">
      <c r="B31" t="s">
        <v>196</v>
      </c>
      <c r="C31" s="55">
        <f>'Input params'!$D$22/(1+'Input params'!$D$2)^(2014-Tabell1[[#Headers],[2014]])</f>
        <v>319922</v>
      </c>
      <c r="D31" s="55">
        <f>'Input params'!$D$22/(1+'Input params'!$D$2)^(2014-Tabell1[[#Headers],[2015]])</f>
        <v>332718.88</v>
      </c>
      <c r="E31" s="55">
        <f>'Input params'!$D$22/(1+'Input params'!$D$2)^(2014-Tabell1[[#Headers],[2016]])</f>
        <v>346027.63520000002</v>
      </c>
      <c r="F31" s="55">
        <f>'Input params'!$D$22/(1+'Input params'!$D$2)^(2014-Tabell1[[#Headers],[2017]])</f>
        <v>359868.74060800002</v>
      </c>
      <c r="G31" s="55">
        <f>'Input params'!$D$22/(1+'Input params'!$D$2)^(2014-Tabell1[[#Headers],[2018]])</f>
        <v>374263.49023232004</v>
      </c>
      <c r="H31" s="55">
        <f>'Input params'!$D$22/(1+'Input params'!$D$2)^(2014-Tabell1[[#Headers],[2019]])</f>
        <v>389234.02984161291</v>
      </c>
      <c r="I31" s="55">
        <f>'Input params'!$D$22/(1+'Input params'!$D$2)^(2014-Tabell1[[#Headers],[2020]])</f>
        <v>404803.39103527745</v>
      </c>
      <c r="J31" s="55">
        <f>'Input params'!$D$22/(1+'Input params'!$D$2)^(2014-Tabell1[[#Headers],[2021]])</f>
        <v>420995.52667668846</v>
      </c>
      <c r="K31" s="55">
        <f>'Input params'!$D$22/(1+'Input params'!$D$2)^(2014-Tabell1[[#Headers],[2022]])</f>
        <v>437835.34774375608</v>
      </c>
      <c r="L31" s="55">
        <f>'Input params'!$D$22/(1+'Input params'!$D$2)^(2014-Tabell1[[#Headers],[2023]])</f>
        <v>455348.76165350643</v>
      </c>
      <c r="M31" s="55">
        <f>'Input params'!$D$22/(1+'Input params'!$D$2)^(2014-Tabell1[[#Headers],[2024]])</f>
        <v>473562.71211964666</v>
      </c>
      <c r="N31" s="55">
        <f>'Input params'!$D$22/(1+'Input params'!$D$2)^(2014-Tabell1[[#Headers],[2025]])</f>
        <v>492505.22060443246</v>
      </c>
      <c r="O31" s="55">
        <f>'Input params'!$D$22/(1+'Input params'!$D$2)^(2014-Tabell1[[#Headers],[2026]])</f>
        <v>512205.4294286099</v>
      </c>
      <c r="P31" s="55">
        <f>'Input params'!$D$22/(1+'Input params'!$D$2)^(2014-Tabell1[[#Headers],[2027]])</f>
        <v>532693.64660575427</v>
      </c>
      <c r="Q31" s="55">
        <f>'Input params'!$D$22/(1+'Input params'!$D$2)^(2014-Tabell1[[#Headers],[2028]])</f>
        <v>554001.39246998436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419C-9BD0-4D39-B858-2C3D8C3DB0CB}">
  <dimension ref="A1:L26"/>
  <sheetViews>
    <sheetView zoomScale="115" zoomScaleNormal="115" workbookViewId="0">
      <selection activeCell="J4" sqref="J4"/>
    </sheetView>
  </sheetViews>
  <sheetFormatPr defaultRowHeight="15" x14ac:dyDescent="0.25"/>
  <cols>
    <col min="1" max="1" width="23.5703125" bestFit="1" customWidth="1"/>
    <col min="2" max="2" width="16.42578125" customWidth="1"/>
    <col min="3" max="12" width="13.7109375" bestFit="1" customWidth="1"/>
  </cols>
  <sheetData>
    <row r="1" spans="1:12" ht="15.75" thickBot="1" x14ac:dyDescent="0.3">
      <c r="A1" s="80" t="s">
        <v>145</v>
      </c>
      <c r="B1" s="49" t="s">
        <v>157</v>
      </c>
      <c r="C1" s="49" t="s">
        <v>156</v>
      </c>
      <c r="D1" s="49" t="s">
        <v>155</v>
      </c>
      <c r="E1" s="49" t="s">
        <v>154</v>
      </c>
      <c r="F1" s="49" t="s">
        <v>153</v>
      </c>
      <c r="G1" s="49" t="s">
        <v>147</v>
      </c>
      <c r="H1" s="49" t="s">
        <v>148</v>
      </c>
      <c r="I1" s="49" t="s">
        <v>149</v>
      </c>
      <c r="J1" s="49" t="s">
        <v>150</v>
      </c>
      <c r="K1" s="49" t="s">
        <v>151</v>
      </c>
      <c r="L1" s="49" t="s">
        <v>152</v>
      </c>
    </row>
    <row r="2" spans="1:12" x14ac:dyDescent="0.25">
      <c r="A2" s="87" t="s">
        <v>130</v>
      </c>
      <c r="B2" s="88">
        <v>425900.49555283197</v>
      </c>
      <c r="C2" s="53">
        <v>427405.29450796795</v>
      </c>
      <c r="D2" s="53">
        <v>428910.09346310393</v>
      </c>
      <c r="E2" s="53">
        <v>430414.89241823991</v>
      </c>
      <c r="F2" s="53">
        <v>431919.69137337588</v>
      </c>
      <c r="G2" s="53">
        <v>433424.49032851186</v>
      </c>
      <c r="H2" s="53">
        <v>434929.28928364784</v>
      </c>
      <c r="I2" s="53">
        <v>436434.08823878382</v>
      </c>
      <c r="J2" s="53">
        <v>437938.8871939198</v>
      </c>
      <c r="K2" s="53">
        <v>439443.68614905572</v>
      </c>
      <c r="L2" s="56">
        <v>440948.48510419176</v>
      </c>
    </row>
    <row r="3" spans="1:12" x14ac:dyDescent="0.25">
      <c r="A3" s="85" t="s">
        <v>29</v>
      </c>
      <c r="B3" s="94">
        <v>0.16510334628663936</v>
      </c>
      <c r="C3" s="95">
        <v>0.16584843346794242</v>
      </c>
      <c r="D3" s="95">
        <v>0.16658851699364358</v>
      </c>
      <c r="E3" s="95">
        <v>0.1673236470983685</v>
      </c>
      <c r="F3" s="95">
        <v>0.1680538733465394</v>
      </c>
      <c r="G3" s="95">
        <v>0.16877924464351465</v>
      </c>
      <c r="H3" s="95">
        <v>0.16949980924650709</v>
      </c>
      <c r="I3" s="95">
        <v>0.17021561477528591</v>
      </c>
      <c r="J3" s="95">
        <v>0.17092670822266717</v>
      </c>
      <c r="K3" s="95">
        <v>0.17163313596479818</v>
      </c>
      <c r="L3" s="96">
        <v>0.17233494377123934</v>
      </c>
    </row>
    <row r="4" spans="1:12" x14ac:dyDescent="0.25">
      <c r="A4" s="86" t="s">
        <v>133</v>
      </c>
      <c r="B4" s="97">
        <v>3.1121017654609513E-2</v>
      </c>
      <c r="C4" s="95">
        <v>3.3083913094500539E-2</v>
      </c>
      <c r="D4" s="95">
        <v>3.503362665043179E-2</v>
      </c>
      <c r="E4" s="95">
        <v>3.6970290663047772E-2</v>
      </c>
      <c r="F4" s="95">
        <v>3.8894035707374791E-2</v>
      </c>
      <c r="G4" s="95">
        <v>4.0804990622168025E-2</v>
      </c>
      <c r="H4" s="95">
        <v>4.2703282538675155E-2</v>
      </c>
      <c r="I4" s="95">
        <v>4.4589036908830017E-2</v>
      </c>
      <c r="J4" s="95">
        <v>4.6462377532889572E-2</v>
      </c>
      <c r="K4" s="95">
        <v>4.8323426586526864E-2</v>
      </c>
      <c r="L4" s="96">
        <v>5.0172304647392259E-2</v>
      </c>
    </row>
    <row r="5" spans="1:12" x14ac:dyDescent="0.25">
      <c r="A5" s="86" t="s">
        <v>134</v>
      </c>
      <c r="B5" s="94">
        <v>0.57208062663837778</v>
      </c>
      <c r="C5" s="95">
        <v>0.57015324252102018</v>
      </c>
      <c r="D5" s="95">
        <v>0.5682388018102571</v>
      </c>
      <c r="E5" s="95">
        <v>0.56633717455965771</v>
      </c>
      <c r="F5" s="95">
        <v>0.56444823255646737</v>
      </c>
      <c r="G5" s="95">
        <v>0.56257184929279069</v>
      </c>
      <c r="H5" s="95">
        <v>0.56070789993734915</v>
      </c>
      <c r="I5" s="95">
        <v>0.55885626130779698</v>
      </c>
      <c r="J5" s="95">
        <v>0.55701681184358431</v>
      </c>
      <c r="K5" s="95">
        <v>0.55518943157935441</v>
      </c>
      <c r="L5" s="96">
        <v>0.55337400211886278</v>
      </c>
    </row>
    <row r="6" spans="1:12" ht="15.75" thickBot="1" x14ac:dyDescent="0.3">
      <c r="A6" s="91" t="s">
        <v>30</v>
      </c>
      <c r="B6" s="98">
        <v>0.1425146125610878</v>
      </c>
      <c r="C6" s="99">
        <v>0.14203446974912845</v>
      </c>
      <c r="D6" s="99">
        <v>0.14155755135080969</v>
      </c>
      <c r="E6" s="99">
        <v>0.14108382499435665</v>
      </c>
      <c r="F6" s="99">
        <v>0.14061325873988145</v>
      </c>
      <c r="G6" s="99">
        <v>0.14014582107220452</v>
      </c>
      <c r="H6" s="99">
        <v>0.13968148089381888</v>
      </c>
      <c r="I6" s="99">
        <v>0.13922020751799355</v>
      </c>
      <c r="J6" s="99">
        <v>0.13876197066201329</v>
      </c>
      <c r="K6" s="99">
        <v>0.13830674044055166</v>
      </c>
      <c r="L6" s="100">
        <v>0.13785448735917352</v>
      </c>
    </row>
    <row r="7" spans="1:12" x14ac:dyDescent="0.25">
      <c r="A7" s="86"/>
      <c r="B7" s="113">
        <v>8.9180396859285763E-2</v>
      </c>
      <c r="C7" s="95">
        <v>8.8879941167408452E-2</v>
      </c>
      <c r="D7" s="95">
        <v>8.8581503194857886E-2</v>
      </c>
      <c r="E7" s="95">
        <v>8.8285062684569315E-2</v>
      </c>
      <c r="F7" s="95">
        <v>8.7990599649737031E-2</v>
      </c>
      <c r="G7" s="95">
        <v>8.7698094369322091E-2</v>
      </c>
      <c r="H7" s="95">
        <v>8.7407527383649708E-2</v>
      </c>
      <c r="I7" s="95">
        <v>8.7118879490093573E-2</v>
      </c>
      <c r="J7" s="95">
        <v>8.6832131738845589E-2</v>
      </c>
      <c r="K7" s="95">
        <v>8.654726542876888E-2</v>
      </c>
      <c r="L7" s="96">
        <v>8.626426210333199E-2</v>
      </c>
    </row>
    <row r="8" spans="1:12" x14ac:dyDescent="0.25">
      <c r="A8" s="85" t="s">
        <v>29</v>
      </c>
      <c r="B8" s="102">
        <f t="shared" ref="B8:L8" si="0">B2*B3</f>
        <v>70317.597000910522</v>
      </c>
      <c r="C8" s="102">
        <f t="shared" si="0"/>
        <v>70884.498550051067</v>
      </c>
      <c r="D8" s="102">
        <f t="shared" si="0"/>
        <v>71451.496393623544</v>
      </c>
      <c r="E8" s="102">
        <f t="shared" si="0"/>
        <v>72018.589564871814</v>
      </c>
      <c r="F8" s="102">
        <f t="shared" si="0"/>
        <v>72585.777109937699</v>
      </c>
      <c r="G8" s="102">
        <f t="shared" si="0"/>
        <v>73153.058087646554</v>
      </c>
      <c r="H8" s="102">
        <f t="shared" si="0"/>
        <v>73720.431569297216</v>
      </c>
      <c r="I8" s="102">
        <f t="shared" si="0"/>
        <v>74287.896638455961</v>
      </c>
      <c r="J8" s="102">
        <f t="shared" si="0"/>
        <v>74855.452390754683</v>
      </c>
      <c r="K8" s="102">
        <f t="shared" si="0"/>
        <v>75423.097933692974</v>
      </c>
      <c r="L8" s="102">
        <f t="shared" si="0"/>
        <v>75990.832386444061</v>
      </c>
    </row>
    <row r="9" spans="1:12" x14ac:dyDescent="0.25">
      <c r="A9" s="86" t="s">
        <v>133</v>
      </c>
      <c r="B9" s="102">
        <f t="shared" ref="B9:L9" si="1">B2*B4</f>
        <v>13254.456841206624</v>
      </c>
      <c r="C9" s="102">
        <f t="shared" si="1"/>
        <v>14140.23961963102</v>
      </c>
      <c r="D9" s="102">
        <f t="shared" si="1"/>
        <v>15026.276080988187</v>
      </c>
      <c r="E9" s="102">
        <f t="shared" si="1"/>
        <v>15912.563678406766</v>
      </c>
      <c r="F9" s="102">
        <f t="shared" si="1"/>
        <v>16799.09989899438</v>
      </c>
      <c r="G9" s="102">
        <f t="shared" si="1"/>
        <v>17685.882263272881</v>
      </c>
      <c r="H9" s="102">
        <f t="shared" si="1"/>
        <v>18572.908324624794</v>
      </c>
      <c r="I9" s="102">
        <f t="shared" si="1"/>
        <v>19460.175668750708</v>
      </c>
      <c r="J9" s="102">
        <f t="shared" si="1"/>
        <v>20347.68191313744</v>
      </c>
      <c r="K9" s="102">
        <f t="shared" si="1"/>
        <v>21235.424706536647</v>
      </c>
      <c r="L9" s="102">
        <f t="shared" si="1"/>
        <v>22123.401728453617</v>
      </c>
    </row>
    <row r="10" spans="1:12" x14ac:dyDescent="0.25">
      <c r="A10" s="86" t="s">
        <v>134</v>
      </c>
      <c r="B10" s="102">
        <f t="shared" ref="B10:L10" si="2">B2*B5</f>
        <v>243649.42238145974</v>
      </c>
      <c r="C10" s="102">
        <f t="shared" si="2"/>
        <v>243686.51453436949</v>
      </c>
      <c r="D10" s="102">
        <f t="shared" si="2"/>
        <v>243723.35759379956</v>
      </c>
      <c r="E10" s="102">
        <f t="shared" si="2"/>
        <v>243759.95406054502</v>
      </c>
      <c r="F10" s="102">
        <f t="shared" si="2"/>
        <v>243796.30640203689</v>
      </c>
      <c r="G10" s="102">
        <f t="shared" si="2"/>
        <v>243832.4170528962</v>
      </c>
      <c r="H10" s="102">
        <f t="shared" si="2"/>
        <v>243868.28841547799</v>
      </c>
      <c r="I10" s="102">
        <f t="shared" si="2"/>
        <v>243903.92286040389</v>
      </c>
      <c r="J10" s="102">
        <f t="shared" si="2"/>
        <v>243939.32272708433</v>
      </c>
      <c r="K10" s="102">
        <f t="shared" si="2"/>
        <v>243974.49032423046</v>
      </c>
      <c r="L10" s="102">
        <f t="shared" si="2"/>
        <v>244009.42793035635</v>
      </c>
    </row>
    <row r="11" spans="1:12" ht="15.75" thickBot="1" x14ac:dyDescent="0.3">
      <c r="A11" s="91" t="s">
        <v>30</v>
      </c>
      <c r="B11" s="102">
        <f t="shared" ref="B11:L11" si="3">B2*B6</f>
        <v>60697.044113287149</v>
      </c>
      <c r="C11" s="102">
        <f t="shared" si="3"/>
        <v>60706.284373409311</v>
      </c>
      <c r="D11" s="102">
        <f t="shared" si="3"/>
        <v>60715.462580283915</v>
      </c>
      <c r="E11" s="102">
        <f t="shared" si="3"/>
        <v>60724.579356899805</v>
      </c>
      <c r="F11" s="102">
        <f t="shared" si="3"/>
        <v>60733.635317934248</v>
      </c>
      <c r="G11" s="102">
        <f t="shared" si="3"/>
        <v>60742.63106989106</v>
      </c>
      <c r="H11" s="102">
        <f t="shared" si="3"/>
        <v>60751.567211236077</v>
      </c>
      <c r="I11" s="102">
        <f t="shared" si="3"/>
        <v>60760.444332529791</v>
      </c>
      <c r="J11" s="102">
        <f t="shared" si="3"/>
        <v>60769.263016557445</v>
      </c>
      <c r="K11" s="102">
        <f t="shared" si="3"/>
        <v>60778.023838456698</v>
      </c>
      <c r="L11" s="102">
        <f t="shared" si="3"/>
        <v>60786.727365842518</v>
      </c>
    </row>
    <row r="12" spans="1:12" x14ac:dyDescent="0.25">
      <c r="A12" s="86" t="s">
        <v>195</v>
      </c>
      <c r="B12" s="102">
        <f>B2*B7</f>
        <v>37981.975215968028</v>
      </c>
      <c r="C12" s="102">
        <f t="shared" ref="C12:L12" si="4">C2*C7</f>
        <v>37987.757430507074</v>
      </c>
      <c r="D12" s="102">
        <f t="shared" si="4"/>
        <v>37993.500814408733</v>
      </c>
      <c r="E12" s="102">
        <f t="shared" si="4"/>
        <v>37999.205757516465</v>
      </c>
      <c r="F12" s="102">
        <f t="shared" si="4"/>
        <v>38004.872644472693</v>
      </c>
      <c r="G12" s="102">
        <f t="shared" si="4"/>
        <v>38010.501854805167</v>
      </c>
      <c r="H12" s="102">
        <f t="shared" si="4"/>
        <v>38016.093763011755</v>
      </c>
      <c r="I12" s="102">
        <f t="shared" si="4"/>
        <v>38021.648738643475</v>
      </c>
      <c r="J12" s="102">
        <f t="shared" si="4"/>
        <v>38027.16714638588</v>
      </c>
      <c r="K12" s="102">
        <f t="shared" si="4"/>
        <v>38032.649346138933</v>
      </c>
      <c r="L12" s="102">
        <f t="shared" si="4"/>
        <v>38038.09569309518</v>
      </c>
    </row>
    <row r="13" spans="1:12" x14ac:dyDescent="0.25">
      <c r="A13" s="101"/>
      <c r="B13" s="77">
        <f t="shared" ref="B13:L13" si="5">SUBTOTAL(109,B3:B7)</f>
        <v>1.0000000000000002</v>
      </c>
      <c r="C13" s="77">
        <f t="shared" si="5"/>
        <v>1</v>
      </c>
      <c r="D13" s="77">
        <f t="shared" si="5"/>
        <v>1</v>
      </c>
      <c r="E13" s="77">
        <f t="shared" si="5"/>
        <v>1</v>
      </c>
      <c r="F13" s="77">
        <f t="shared" si="5"/>
        <v>1</v>
      </c>
      <c r="G13" s="77">
        <f t="shared" si="5"/>
        <v>1</v>
      </c>
      <c r="H13" s="77">
        <f t="shared" si="5"/>
        <v>1</v>
      </c>
      <c r="I13" s="77">
        <f t="shared" si="5"/>
        <v>1</v>
      </c>
      <c r="J13" s="77">
        <f t="shared" si="5"/>
        <v>1</v>
      </c>
      <c r="K13" s="77">
        <f t="shared" si="5"/>
        <v>1</v>
      </c>
      <c r="L13" s="77">
        <f t="shared" si="5"/>
        <v>0.99999999999999978</v>
      </c>
    </row>
    <row r="15" spans="1:12" x14ac:dyDescent="0.25">
      <c r="A15" s="49">
        <f>(G2-B2)/G2</f>
        <v>1.7359413100946651E-2</v>
      </c>
    </row>
    <row r="17" spans="2:3" x14ac:dyDescent="0.25">
      <c r="B17" t="s">
        <v>146</v>
      </c>
      <c r="C17">
        <f>1-0.25</f>
        <v>0.75</v>
      </c>
    </row>
    <row r="19" spans="2:3" ht="15.75" thickBot="1" x14ac:dyDescent="0.3"/>
    <row r="20" spans="2:3" x14ac:dyDescent="0.25">
      <c r="B20" s="87" t="s">
        <v>130</v>
      </c>
      <c r="C20" s="88">
        <f>'Results - comparison'!C19</f>
        <v>438438.18590155349</v>
      </c>
    </row>
    <row r="21" spans="2:3" x14ac:dyDescent="0.25">
      <c r="B21" s="85" t="s">
        <v>29</v>
      </c>
      <c r="C21" s="89">
        <f>'Results - comparison'!D19</f>
        <v>0.16081190561851222</v>
      </c>
    </row>
    <row r="22" spans="2:3" x14ac:dyDescent="0.25">
      <c r="B22" s="86" t="s">
        <v>133</v>
      </c>
      <c r="C22" s="90">
        <f>'Results - comparison'!E19</f>
        <v>3.0312106122528094E-2</v>
      </c>
    </row>
    <row r="23" spans="2:3" x14ac:dyDescent="0.25">
      <c r="B23" s="86" t="s">
        <v>134</v>
      </c>
      <c r="C23" s="89">
        <f>'Results - comparison'!F19</f>
        <v>0.55721084887905026</v>
      </c>
    </row>
    <row r="24" spans="2:3" ht="15.75" thickBot="1" x14ac:dyDescent="0.3">
      <c r="B24" s="91" t="s">
        <v>30</v>
      </c>
      <c r="C24" s="92">
        <f>'Results - comparison'!G19</f>
        <v>0.16480275963226496</v>
      </c>
    </row>
    <row r="25" spans="2:3" ht="15.75" thickBot="1" x14ac:dyDescent="0.3">
      <c r="B25" s="114" t="s">
        <v>195</v>
      </c>
      <c r="C25" s="92">
        <f>'Results - comparison'!H19</f>
        <v>8.6862379747644519E-2</v>
      </c>
    </row>
    <row r="26" spans="2:3" x14ac:dyDescent="0.25">
      <c r="C26" s="93">
        <f>SUM(C21:C25)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Maintenance strategy</vt:lpstr>
      <vt:lpstr>Input params</vt:lpstr>
      <vt:lpstr>regression_corr</vt:lpstr>
      <vt:lpstr>LCC_standard</vt:lpstr>
      <vt:lpstr>LCC_current_2018_standard_cross</vt:lpstr>
      <vt:lpstr>Results - Standard</vt:lpstr>
      <vt:lpstr>Results - comparison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2023-05-29T08:20:54Z</dcterms:modified>
</cp:coreProperties>
</file>