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ioffice365.sharepoint.com/sites/Underhllstabeller/Delade dokument/General/AP4/LCCA/"/>
    </mc:Choice>
  </mc:AlternateContent>
  <xr:revisionPtr revIDLastSave="1102" documentId="13_ncr:1_{0E8D36DC-5EAF-491F-9C74-C89F8723C50B}" xr6:coauthVersionLast="47" xr6:coauthVersionMax="47" xr10:uidLastSave="{1CEEAECA-BD20-4EC3-9555-C39F9F0872D2}"/>
  <bookViews>
    <workbookView xWindow="-28908" yWindow="-1980" windowWidth="29016" windowHeight="18216" firstSheet="1" activeTab="2" xr2:uid="{A0E77FEA-D435-4ED7-B278-0D20F96847F7}"/>
  </bookViews>
  <sheets>
    <sheet name="Overview" sheetId="6" r:id="rId1"/>
    <sheet name="LCC indata" sheetId="4" r:id="rId2"/>
    <sheet name="LCA indata_EF" sheetId="9" r:id="rId3"/>
    <sheet name="LCA calculation" sheetId="12" r:id="rId4"/>
    <sheet name="LCC calculation" sheetId="3" r:id="rId5"/>
    <sheet name="Train disturbance parameters" sheetId="5" r:id="rId6"/>
    <sheet name="Method info." sheetId="1" r:id="rId7"/>
    <sheet name="CO2_Valuation" sheetId="10" r:id="rId8"/>
    <sheet name="Energy use emission factors" sheetId="11" r:id="rId9"/>
  </sheets>
  <definedNames>
    <definedName name="_Ref103090875" localSheetId="4">'LCC calculation'!#REF!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9" l="1"/>
  <c r="K4" i="9"/>
  <c r="K5" i="9"/>
  <c r="K6" i="9"/>
  <c r="K2" i="9"/>
  <c r="H4" i="9"/>
  <c r="H5" i="9"/>
  <c r="H6" i="9"/>
  <c r="H3" i="9"/>
  <c r="H2" i="9"/>
  <c r="C13" i="11"/>
  <c r="C14" i="11"/>
  <c r="C15" i="11"/>
  <c r="C16" i="11"/>
  <c r="C17" i="11"/>
  <c r="C18" i="11"/>
  <c r="C19" i="11"/>
  <c r="C20" i="11"/>
  <c r="C21" i="11"/>
  <c r="C2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A14" i="11"/>
  <c r="A15" i="11" s="1"/>
  <c r="A16" i="11" s="1"/>
  <c r="A17" i="11" s="1"/>
  <c r="A18" i="11" s="1"/>
  <c r="A19" i="11" s="1"/>
  <c r="A20" i="11" s="1"/>
  <c r="A21" i="11" s="1"/>
  <c r="A22" i="11" s="1"/>
  <c r="A4" i="11"/>
  <c r="A5" i="11"/>
  <c r="A6" i="11" s="1"/>
  <c r="A3" i="11"/>
  <c r="B2" i="11"/>
  <c r="R3" i="11"/>
  <c r="R2" i="11"/>
  <c r="E9" i="9"/>
  <c r="E8" i="9"/>
  <c r="E7" i="9"/>
  <c r="E6" i="9"/>
  <c r="E5" i="9"/>
  <c r="E4" i="9"/>
  <c r="E3" i="9"/>
  <c r="E2" i="9"/>
  <c r="A4" i="12"/>
  <c r="J6" i="9"/>
  <c r="J5" i="9"/>
  <c r="J4" i="9"/>
  <c r="J3" i="9"/>
  <c r="J2" i="9"/>
  <c r="A7" i="11" l="1"/>
  <c r="A5" i="12"/>
  <c r="A8" i="11" l="1"/>
  <c r="C3" i="11"/>
  <c r="G3" i="9"/>
  <c r="A6" i="12"/>
  <c r="A9" i="11" l="1"/>
  <c r="C2" i="11"/>
  <c r="I3" i="9" s="1"/>
  <c r="C4" i="11"/>
  <c r="A7" i="12"/>
  <c r="A10" i="11" l="1"/>
  <c r="B5" i="12"/>
  <c r="B3" i="12"/>
  <c r="D3" i="12" s="1"/>
  <c r="B4" i="12"/>
  <c r="B6" i="12"/>
  <c r="C5" i="11"/>
  <c r="A8" i="12"/>
  <c r="B7" i="12"/>
  <c r="A11" i="11" l="1"/>
  <c r="C6" i="11"/>
  <c r="A9" i="12"/>
  <c r="B8" i="12"/>
  <c r="A12" i="11" l="1"/>
  <c r="C7" i="11"/>
  <c r="A10" i="12"/>
  <c r="B9" i="12"/>
  <c r="E27" i="4"/>
  <c r="E17" i="4"/>
  <c r="E25" i="4" s="1"/>
  <c r="E21" i="4"/>
  <c r="E23" i="4" s="1"/>
  <c r="E37" i="4"/>
  <c r="E52" i="4"/>
  <c r="E44" i="3"/>
  <c r="E51" i="3"/>
  <c r="G21" i="3"/>
  <c r="F21" i="3"/>
  <c r="E14" i="3"/>
  <c r="AI7" i="3" s="1"/>
  <c r="S7" i="3" s="1"/>
  <c r="A13" i="11" l="1"/>
  <c r="C8" i="11"/>
  <c r="A11" i="12"/>
  <c r="B10" i="12"/>
  <c r="E16" i="3"/>
  <c r="AO8" i="3" s="1"/>
  <c r="E67" i="3"/>
  <c r="C9" i="11" l="1"/>
  <c r="A12" i="12"/>
  <c r="B11" i="12"/>
  <c r="O5" i="1"/>
  <c r="E24" i="3"/>
  <c r="E43" i="3" s="1"/>
  <c r="G67" i="3"/>
  <c r="F67" i="3"/>
  <c r="F68" i="3"/>
  <c r="G68" i="3"/>
  <c r="F69" i="3"/>
  <c r="G69" i="3"/>
  <c r="E69" i="3"/>
  <c r="E68" i="3"/>
  <c r="G33" i="3"/>
  <c r="G34" i="3"/>
  <c r="G32" i="3"/>
  <c r="F32" i="3"/>
  <c r="F33" i="3"/>
  <c r="F34" i="3"/>
  <c r="E32" i="3"/>
  <c r="E36" i="3" s="1"/>
  <c r="E47" i="3" s="1"/>
  <c r="E33" i="3"/>
  <c r="E29" i="4" s="1"/>
  <c r="E31" i="4" s="1"/>
  <c r="E33" i="4" s="1"/>
  <c r="E34" i="3"/>
  <c r="E38" i="3" s="1"/>
  <c r="G24" i="3"/>
  <c r="G43" i="3" s="1"/>
  <c r="F24" i="3"/>
  <c r="F43" i="3" s="1"/>
  <c r="C10" i="11" l="1"/>
  <c r="I5" i="9" s="1"/>
  <c r="L5" i="9" s="1"/>
  <c r="G5" i="9"/>
  <c r="A13" i="12"/>
  <c r="B12" i="12"/>
  <c r="E55" i="3"/>
  <c r="E59" i="3" s="1"/>
  <c r="AV7" i="3"/>
  <c r="AC7" i="3" s="1"/>
  <c r="AU7" i="3"/>
  <c r="AB7" i="3" s="1"/>
  <c r="AT7" i="3"/>
  <c r="AA7" i="3" s="1"/>
  <c r="AL7" i="3"/>
  <c r="V7" i="3" s="1"/>
  <c r="E15" i="3"/>
  <c r="G14" i="3"/>
  <c r="F14" i="3"/>
  <c r="AO5" i="3"/>
  <c r="AL5" i="3"/>
  <c r="AM7" i="3"/>
  <c r="W7" i="3" s="1"/>
  <c r="AN7" i="3"/>
  <c r="X7" i="3" s="1"/>
  <c r="Z8" i="3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AS8" i="3"/>
  <c r="G15" i="3"/>
  <c r="F15" i="3"/>
  <c r="AT5" i="3"/>
  <c r="AI5" i="3"/>
  <c r="C11" i="11" l="1"/>
  <c r="A14" i="12"/>
  <c r="B13" i="12"/>
  <c r="AT8" i="3"/>
  <c r="AA8" i="3" s="1"/>
  <c r="AV8" i="3"/>
  <c r="AC8" i="3" s="1"/>
  <c r="AU8" i="3"/>
  <c r="AB8" i="3" s="1"/>
  <c r="G16" i="3"/>
  <c r="AQ8" i="3" s="1"/>
  <c r="F16" i="3"/>
  <c r="AS9" i="3"/>
  <c r="C12" i="11" l="1"/>
  <c r="A15" i="12"/>
  <c r="B14" i="12"/>
  <c r="AT9" i="3"/>
  <c r="AA9" i="3" s="1"/>
  <c r="AU9" i="3"/>
  <c r="AB9" i="3" s="1"/>
  <c r="AV9" i="3"/>
  <c r="AC9" i="3" s="1"/>
  <c r="AP8" i="3"/>
  <c r="AS10" i="3"/>
  <c r="A16" i="12" l="1"/>
  <c r="B15" i="12"/>
  <c r="AU10" i="3"/>
  <c r="AB10" i="3" s="1"/>
  <c r="AV10" i="3"/>
  <c r="AC10" i="3" s="1"/>
  <c r="AT10" i="3"/>
  <c r="AA10" i="3" s="1"/>
  <c r="AS11" i="3"/>
  <c r="A17" i="12" l="1"/>
  <c r="B16" i="12"/>
  <c r="AT11" i="3"/>
  <c r="AA11" i="3" s="1"/>
  <c r="AU11" i="3"/>
  <c r="AB11" i="3" s="1"/>
  <c r="AV11" i="3"/>
  <c r="AC11" i="3" s="1"/>
  <c r="AS12" i="3"/>
  <c r="A18" i="12" l="1"/>
  <c r="B17" i="12"/>
  <c r="AT12" i="3"/>
  <c r="AA12" i="3" s="1"/>
  <c r="AU12" i="3"/>
  <c r="AB12" i="3" s="1"/>
  <c r="AV12" i="3"/>
  <c r="AC12" i="3" s="1"/>
  <c r="AS13" i="3"/>
  <c r="A19" i="12" l="1"/>
  <c r="B18" i="12"/>
  <c r="AT13" i="3"/>
  <c r="AA13" i="3" s="1"/>
  <c r="AU13" i="3"/>
  <c r="AB13" i="3" s="1"/>
  <c r="AV13" i="3"/>
  <c r="AC13" i="3" s="1"/>
  <c r="AS14" i="3"/>
  <c r="A20" i="12" l="1"/>
  <c r="B19" i="12"/>
  <c r="AT14" i="3"/>
  <c r="AA14" i="3" s="1"/>
  <c r="AU14" i="3"/>
  <c r="AB14" i="3" s="1"/>
  <c r="AV14" i="3"/>
  <c r="AC14" i="3" s="1"/>
  <c r="AS15" i="3"/>
  <c r="F52" i="3"/>
  <c r="G52" i="3"/>
  <c r="F53" i="3"/>
  <c r="G53" i="3"/>
  <c r="E53" i="3"/>
  <c r="E52" i="3"/>
  <c r="G51" i="3"/>
  <c r="F51" i="3"/>
  <c r="F36" i="3"/>
  <c r="F47" i="3" s="1"/>
  <c r="G36" i="3"/>
  <c r="G47" i="3" s="1"/>
  <c r="F37" i="3"/>
  <c r="F48" i="3" s="1"/>
  <c r="G37" i="3"/>
  <c r="G48" i="3" s="1"/>
  <c r="F38" i="3"/>
  <c r="F49" i="3" s="1"/>
  <c r="G38" i="3"/>
  <c r="G49" i="3" s="1"/>
  <c r="E37" i="3"/>
  <c r="E48" i="3" s="1"/>
  <c r="E49" i="3"/>
  <c r="F44" i="3"/>
  <c r="G44" i="3"/>
  <c r="F45" i="3"/>
  <c r="G45" i="3"/>
  <c r="E45" i="3"/>
  <c r="D52" i="4"/>
  <c r="A21" i="12" l="1"/>
  <c r="B20" i="12"/>
  <c r="E56" i="3"/>
  <c r="AZ7" i="3" s="1"/>
  <c r="AV15" i="3"/>
  <c r="AC15" i="3" s="1"/>
  <c r="AT15" i="3"/>
  <c r="AA15" i="3" s="1"/>
  <c r="AU15" i="3"/>
  <c r="AB15" i="3" s="1"/>
  <c r="AW14" i="3"/>
  <c r="AW10" i="3"/>
  <c r="AW8" i="3"/>
  <c r="AW7" i="3"/>
  <c r="AW13" i="3"/>
  <c r="AW9" i="3"/>
  <c r="AW11" i="3"/>
  <c r="AW15" i="3"/>
  <c r="AW12" i="3"/>
  <c r="AS16" i="3"/>
  <c r="AW16" i="3" s="1"/>
  <c r="E57" i="3"/>
  <c r="BC15" i="3" s="1"/>
  <c r="F56" i="3"/>
  <c r="F55" i="3"/>
  <c r="AX15" i="3" s="1"/>
  <c r="F57" i="3"/>
  <c r="G56" i="3"/>
  <c r="G55" i="3"/>
  <c r="G57" i="3"/>
  <c r="A22" i="12" l="1"/>
  <c r="B21" i="12"/>
  <c r="AZ13" i="3"/>
  <c r="AZ12" i="3"/>
  <c r="AZ11" i="3"/>
  <c r="AZ14" i="3"/>
  <c r="AZ10" i="3"/>
  <c r="AZ8" i="3"/>
  <c r="AZ9" i="3"/>
  <c r="AZ15" i="3"/>
  <c r="BD7" i="3"/>
  <c r="BD8" i="3"/>
  <c r="BD9" i="3"/>
  <c r="BD10" i="3"/>
  <c r="BD11" i="3"/>
  <c r="BD12" i="3"/>
  <c r="BD13" i="3"/>
  <c r="BD14" i="3"/>
  <c r="BE7" i="3"/>
  <c r="BE8" i="3"/>
  <c r="BE9" i="3"/>
  <c r="BE10" i="3"/>
  <c r="BE11" i="3"/>
  <c r="BE12" i="3"/>
  <c r="BE13" i="3"/>
  <c r="BE14" i="3"/>
  <c r="BB7" i="3"/>
  <c r="BB8" i="3"/>
  <c r="BB9" i="3"/>
  <c r="BB10" i="3"/>
  <c r="BB11" i="3"/>
  <c r="BB12" i="3"/>
  <c r="BB13" i="3"/>
  <c r="BB14" i="3"/>
  <c r="BA7" i="3"/>
  <c r="BA8" i="3"/>
  <c r="BA9" i="3"/>
  <c r="BA10" i="3"/>
  <c r="BA11" i="3"/>
  <c r="BA12" i="3"/>
  <c r="BA13" i="3"/>
  <c r="BA14" i="3"/>
  <c r="BD15" i="3"/>
  <c r="AY7" i="3"/>
  <c r="AY8" i="3"/>
  <c r="AY9" i="3"/>
  <c r="AY10" i="3"/>
  <c r="AY11" i="3"/>
  <c r="AY12" i="3"/>
  <c r="AY13" i="3"/>
  <c r="AY14" i="3"/>
  <c r="BB16" i="3"/>
  <c r="BD16" i="3"/>
  <c r="BE16" i="3"/>
  <c r="BC16" i="3"/>
  <c r="AT16" i="3"/>
  <c r="AA16" i="3" s="1"/>
  <c r="AU16" i="3"/>
  <c r="AB16" i="3" s="1"/>
  <c r="AZ16" i="3"/>
  <c r="AV16" i="3"/>
  <c r="AC16" i="3" s="1"/>
  <c r="BA16" i="3"/>
  <c r="AX16" i="3"/>
  <c r="AY16" i="3"/>
  <c r="AX7" i="3"/>
  <c r="AX8" i="3"/>
  <c r="AX9" i="3"/>
  <c r="AX10" i="3"/>
  <c r="AX11" i="3"/>
  <c r="AX12" i="3"/>
  <c r="AX13" i="3"/>
  <c r="AX14" i="3"/>
  <c r="BC7" i="3"/>
  <c r="BC8" i="3"/>
  <c r="BC9" i="3"/>
  <c r="BC10" i="3"/>
  <c r="BC11" i="3"/>
  <c r="BC12" i="3"/>
  <c r="BC13" i="3"/>
  <c r="BC14" i="3"/>
  <c r="BA15" i="3"/>
  <c r="AY15" i="3"/>
  <c r="BE15" i="3"/>
  <c r="BB15" i="3"/>
  <c r="E61" i="3"/>
  <c r="G60" i="3"/>
  <c r="G61" i="3"/>
  <c r="G59" i="3"/>
  <c r="F61" i="3"/>
  <c r="F59" i="3"/>
  <c r="F60" i="3"/>
  <c r="E60" i="3"/>
  <c r="AS17" i="3"/>
  <c r="A23" i="12" l="1"/>
  <c r="B22" i="12"/>
  <c r="BA17" i="3"/>
  <c r="AY17" i="3"/>
  <c r="BE17" i="3"/>
  <c r="BD17" i="3"/>
  <c r="AZ17" i="3"/>
  <c r="BC17" i="3"/>
  <c r="BB17" i="3"/>
  <c r="AT17" i="3"/>
  <c r="AA17" i="3" s="1"/>
  <c r="AU17" i="3"/>
  <c r="AB17" i="3" s="1"/>
  <c r="AV17" i="3"/>
  <c r="AC17" i="3" s="1"/>
  <c r="AX17" i="3"/>
  <c r="AW17" i="3"/>
  <c r="AE14" i="3"/>
  <c r="AD9" i="3"/>
  <c r="AD11" i="3"/>
  <c r="AD12" i="3"/>
  <c r="AD16" i="3"/>
  <c r="AF16" i="3"/>
  <c r="AE15" i="3"/>
  <c r="AF15" i="3"/>
  <c r="AE12" i="3"/>
  <c r="AE16" i="3"/>
  <c r="AF10" i="3"/>
  <c r="AE7" i="3"/>
  <c r="AE13" i="3"/>
  <c r="AE10" i="3"/>
  <c r="AF11" i="3"/>
  <c r="AD10" i="3"/>
  <c r="AF7" i="3"/>
  <c r="AF14" i="3"/>
  <c r="AF13" i="3"/>
  <c r="AF12" i="3"/>
  <c r="AD15" i="3"/>
  <c r="AF8" i="3"/>
  <c r="AF9" i="3"/>
  <c r="AE11" i="3"/>
  <c r="AE8" i="3"/>
  <c r="AE9" i="3"/>
  <c r="AD8" i="3"/>
  <c r="AD7" i="3"/>
  <c r="AD13" i="3"/>
  <c r="AD14" i="3"/>
  <c r="AS18" i="3"/>
  <c r="A24" i="12" l="1"/>
  <c r="B23" i="12"/>
  <c r="AF17" i="3"/>
  <c r="BB18" i="3"/>
  <c r="BC18" i="3"/>
  <c r="AV18" i="3"/>
  <c r="AC18" i="3" s="1"/>
  <c r="BE18" i="3"/>
  <c r="BD18" i="3"/>
  <c r="AY18" i="3"/>
  <c r="AT18" i="3"/>
  <c r="AA18" i="3" s="1"/>
  <c r="BA18" i="3"/>
  <c r="AZ18" i="3"/>
  <c r="AX18" i="3"/>
  <c r="AU18" i="3"/>
  <c r="AB18" i="3" s="1"/>
  <c r="AW18" i="3"/>
  <c r="AE17" i="3"/>
  <c r="AD17" i="3"/>
  <c r="AS19" i="3"/>
  <c r="A25" i="12" l="1"/>
  <c r="B24" i="12"/>
  <c r="AZ19" i="3"/>
  <c r="BA19" i="3"/>
  <c r="BD19" i="3"/>
  <c r="BB19" i="3"/>
  <c r="BC19" i="3"/>
  <c r="AX19" i="3"/>
  <c r="AT19" i="3"/>
  <c r="AA19" i="3" s="1"/>
  <c r="AU19" i="3"/>
  <c r="AB19" i="3" s="1"/>
  <c r="AV19" i="3"/>
  <c r="AC19" i="3" s="1"/>
  <c r="BE19" i="3"/>
  <c r="AY19" i="3"/>
  <c r="AW19" i="3"/>
  <c r="AF18" i="3"/>
  <c r="AE18" i="3"/>
  <c r="AD18" i="3"/>
  <c r="AS20" i="3"/>
  <c r="A26" i="12" l="1"/>
  <c r="B25" i="12"/>
  <c r="BA20" i="3"/>
  <c r="AZ20" i="3"/>
  <c r="BB20" i="3"/>
  <c r="BD20" i="3"/>
  <c r="BE20" i="3"/>
  <c r="AX20" i="3"/>
  <c r="AY20" i="3"/>
  <c r="BC20" i="3"/>
  <c r="AT20" i="3"/>
  <c r="AA20" i="3" s="1"/>
  <c r="AU20" i="3"/>
  <c r="AB20" i="3" s="1"/>
  <c r="AV20" i="3"/>
  <c r="AC20" i="3" s="1"/>
  <c r="AW20" i="3"/>
  <c r="AD19" i="3"/>
  <c r="AE19" i="3"/>
  <c r="AF19" i="3"/>
  <c r="AS21" i="3"/>
  <c r="A27" i="12" l="1"/>
  <c r="B26" i="12"/>
  <c r="BB21" i="3"/>
  <c r="BE21" i="3"/>
  <c r="BD21" i="3"/>
  <c r="AZ21" i="3"/>
  <c r="AY21" i="3"/>
  <c r="AU21" i="3"/>
  <c r="AB21" i="3" s="1"/>
  <c r="AV21" i="3"/>
  <c r="AC21" i="3" s="1"/>
  <c r="BC21" i="3"/>
  <c r="AX21" i="3"/>
  <c r="AT21" i="3"/>
  <c r="AA21" i="3" s="1"/>
  <c r="BA21" i="3"/>
  <c r="AW21" i="3"/>
  <c r="AF20" i="3"/>
  <c r="AD20" i="3"/>
  <c r="AE20" i="3"/>
  <c r="AS22" i="3"/>
  <c r="A28" i="12" l="1"/>
  <c r="B27" i="12"/>
  <c r="BE22" i="3"/>
  <c r="BD22" i="3"/>
  <c r="AZ22" i="3"/>
  <c r="BB22" i="3"/>
  <c r="AY22" i="3"/>
  <c r="AT22" i="3"/>
  <c r="AA22" i="3" s="1"/>
  <c r="BC22" i="3"/>
  <c r="AX22" i="3"/>
  <c r="AU22" i="3"/>
  <c r="AB22" i="3" s="1"/>
  <c r="AV22" i="3"/>
  <c r="AC22" i="3" s="1"/>
  <c r="BA22" i="3"/>
  <c r="AW22" i="3"/>
  <c r="AF21" i="3"/>
  <c r="AE21" i="3"/>
  <c r="AD21" i="3"/>
  <c r="AS23" i="3"/>
  <c r="A29" i="12" l="1"/>
  <c r="B28" i="12"/>
  <c r="AY23" i="3"/>
  <c r="BE23" i="3"/>
  <c r="BA23" i="3"/>
  <c r="BD23" i="3"/>
  <c r="BC23" i="3"/>
  <c r="AZ23" i="3"/>
  <c r="AX23" i="3"/>
  <c r="BB23" i="3"/>
  <c r="AT23" i="3"/>
  <c r="AU23" i="3"/>
  <c r="AB23" i="3" s="1"/>
  <c r="AV23" i="3"/>
  <c r="AC23" i="3" s="1"/>
  <c r="AW23" i="3"/>
  <c r="AD22" i="3"/>
  <c r="AE22" i="3"/>
  <c r="AF22" i="3"/>
  <c r="AS24" i="3"/>
  <c r="AA23" i="3"/>
  <c r="A30" i="12" l="1"/>
  <c r="B29" i="12"/>
  <c r="BA24" i="3"/>
  <c r="BB24" i="3"/>
  <c r="BE24" i="3"/>
  <c r="AT24" i="3"/>
  <c r="AA24" i="3" s="1"/>
  <c r="AU24" i="3"/>
  <c r="AB24" i="3" s="1"/>
  <c r="AV24" i="3"/>
  <c r="AC24" i="3" s="1"/>
  <c r="AZ24" i="3"/>
  <c r="BC24" i="3"/>
  <c r="AX24" i="3"/>
  <c r="BD24" i="3"/>
  <c r="AY24" i="3"/>
  <c r="AW24" i="3"/>
  <c r="AF23" i="3"/>
  <c r="AD23" i="3"/>
  <c r="AE23" i="3"/>
  <c r="AS25" i="3"/>
  <c r="A31" i="12" l="1"/>
  <c r="B30" i="12"/>
  <c r="BC25" i="3"/>
  <c r="BB25" i="3"/>
  <c r="BE25" i="3"/>
  <c r="BD25" i="3"/>
  <c r="AZ25" i="3"/>
  <c r="BA25" i="3"/>
  <c r="AT25" i="3"/>
  <c r="AA25" i="3" s="1"/>
  <c r="AU25" i="3"/>
  <c r="AB25" i="3" s="1"/>
  <c r="AV25" i="3"/>
  <c r="AC25" i="3" s="1"/>
  <c r="AY25" i="3"/>
  <c r="AX25" i="3"/>
  <c r="AW25" i="3"/>
  <c r="AE24" i="3"/>
  <c r="AF24" i="3"/>
  <c r="AD24" i="3"/>
  <c r="AS26" i="3"/>
  <c r="A32" i="12" l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B31" i="12"/>
  <c r="BA26" i="3"/>
  <c r="BE26" i="3"/>
  <c r="BD26" i="3"/>
  <c r="AZ26" i="3"/>
  <c r="BB26" i="3"/>
  <c r="BC26" i="3"/>
  <c r="AV26" i="3"/>
  <c r="AC26" i="3" s="1"/>
  <c r="AY26" i="3"/>
  <c r="AT26" i="3"/>
  <c r="AA26" i="3" s="1"/>
  <c r="AX26" i="3"/>
  <c r="AU26" i="3"/>
  <c r="AB26" i="3" s="1"/>
  <c r="AW26" i="3"/>
  <c r="AF25" i="3"/>
  <c r="AD25" i="3"/>
  <c r="AE25" i="3"/>
  <c r="AS27" i="3"/>
  <c r="AD26" i="3" l="1"/>
  <c r="AF26" i="3"/>
  <c r="BB27" i="3"/>
  <c r="AZ27" i="3"/>
  <c r="AY27" i="3"/>
  <c r="AT27" i="3"/>
  <c r="AA27" i="3" s="1"/>
  <c r="BC27" i="3"/>
  <c r="BA27" i="3"/>
  <c r="AU27" i="3"/>
  <c r="AB27" i="3" s="1"/>
  <c r="AX27" i="3"/>
  <c r="AV27" i="3"/>
  <c r="AC27" i="3" s="1"/>
  <c r="BE27" i="3"/>
  <c r="BD27" i="3"/>
  <c r="AW27" i="3"/>
  <c r="AE26" i="3"/>
  <c r="AS28" i="3"/>
  <c r="BD28" i="3" l="1"/>
  <c r="BC28" i="3"/>
  <c r="AY28" i="3"/>
  <c r="BA28" i="3"/>
  <c r="AZ28" i="3"/>
  <c r="BB28" i="3"/>
  <c r="BE28" i="3"/>
  <c r="AT28" i="3"/>
  <c r="AA28" i="3" s="1"/>
  <c r="AX28" i="3"/>
  <c r="AU28" i="3"/>
  <c r="AB28" i="3" s="1"/>
  <c r="AV28" i="3"/>
  <c r="AC28" i="3" s="1"/>
  <c r="AW28" i="3"/>
  <c r="AE27" i="3"/>
  <c r="AD27" i="3"/>
  <c r="AF27" i="3"/>
  <c r="AS29" i="3"/>
  <c r="G2" i="9" l="1"/>
  <c r="G6" i="9"/>
  <c r="G4" i="9"/>
  <c r="AF28" i="3"/>
  <c r="BB29" i="3"/>
  <c r="BE29" i="3"/>
  <c r="BA29" i="3"/>
  <c r="AU29" i="3"/>
  <c r="AB29" i="3" s="1"/>
  <c r="AV29" i="3"/>
  <c r="AC29" i="3" s="1"/>
  <c r="BC29" i="3"/>
  <c r="BD29" i="3"/>
  <c r="AY29" i="3"/>
  <c r="AT29" i="3"/>
  <c r="AA29" i="3" s="1"/>
  <c r="AZ29" i="3"/>
  <c r="AX29" i="3"/>
  <c r="AW29" i="3"/>
  <c r="AE28" i="3"/>
  <c r="AD28" i="3"/>
  <c r="AS30" i="3"/>
  <c r="I6" i="9" l="1"/>
  <c r="I2" i="9"/>
  <c r="I4" i="9"/>
  <c r="BE30" i="3"/>
  <c r="BD30" i="3"/>
  <c r="AZ30" i="3"/>
  <c r="AY30" i="3"/>
  <c r="BB30" i="3"/>
  <c r="AX30" i="3"/>
  <c r="BC30" i="3"/>
  <c r="AT30" i="3"/>
  <c r="AA30" i="3" s="1"/>
  <c r="AU30" i="3"/>
  <c r="AV30" i="3"/>
  <c r="AC30" i="3" s="1"/>
  <c r="BA30" i="3"/>
  <c r="AW30" i="3"/>
  <c r="AD29" i="3"/>
  <c r="AE29" i="3"/>
  <c r="AF29" i="3"/>
  <c r="AS31" i="3"/>
  <c r="AB30" i="3"/>
  <c r="C3" i="12" l="1"/>
  <c r="L6" i="9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BC31" i="3"/>
  <c r="BE31" i="3"/>
  <c r="BB31" i="3"/>
  <c r="AZ31" i="3"/>
  <c r="BD31" i="3"/>
  <c r="AY31" i="3"/>
  <c r="AX31" i="3"/>
  <c r="BA31" i="3"/>
  <c r="AT31" i="3"/>
  <c r="AA31" i="3" s="1"/>
  <c r="AU31" i="3"/>
  <c r="AB31" i="3" s="1"/>
  <c r="AV31" i="3"/>
  <c r="AC31" i="3" s="1"/>
  <c r="AW31" i="3"/>
  <c r="AD30" i="3"/>
  <c r="AE30" i="3"/>
  <c r="AF30" i="3"/>
  <c r="AS32" i="3"/>
  <c r="AD31" i="3" l="1"/>
  <c r="BE32" i="3"/>
  <c r="BA32" i="3"/>
  <c r="AZ32" i="3"/>
  <c r="BB32" i="3"/>
  <c r="AT32" i="3"/>
  <c r="AA32" i="3" s="1"/>
  <c r="AU32" i="3"/>
  <c r="AB32" i="3" s="1"/>
  <c r="AX32" i="3"/>
  <c r="AV32" i="3"/>
  <c r="AC32" i="3" s="1"/>
  <c r="AY32" i="3"/>
  <c r="BC32" i="3"/>
  <c r="BD32" i="3"/>
  <c r="AW32" i="3"/>
  <c r="AE31" i="3"/>
  <c r="AF31" i="3"/>
  <c r="AS33" i="3"/>
  <c r="BC33" i="3" l="1"/>
  <c r="AY33" i="3"/>
  <c r="BB33" i="3"/>
  <c r="BA33" i="3"/>
  <c r="BE33" i="3"/>
  <c r="AZ33" i="3"/>
  <c r="AX33" i="3"/>
  <c r="AT33" i="3"/>
  <c r="AA33" i="3" s="1"/>
  <c r="AU33" i="3"/>
  <c r="AV33" i="3"/>
  <c r="BD33" i="3"/>
  <c r="AW33" i="3"/>
  <c r="AF32" i="3"/>
  <c r="AD32" i="3"/>
  <c r="AE32" i="3"/>
  <c r="AS34" i="3"/>
  <c r="AB33" i="3"/>
  <c r="AC33" i="3"/>
  <c r="BA34" i="3" l="1"/>
  <c r="BC34" i="3"/>
  <c r="BE34" i="3"/>
  <c r="BD34" i="3"/>
  <c r="AZ34" i="3"/>
  <c r="AV34" i="3"/>
  <c r="AC34" i="3" s="1"/>
  <c r="AX34" i="3"/>
  <c r="BB34" i="3"/>
  <c r="AY34" i="3"/>
  <c r="AT34" i="3"/>
  <c r="AA34" i="3" s="1"/>
  <c r="AU34" i="3"/>
  <c r="AB34" i="3" s="1"/>
  <c r="AW34" i="3"/>
  <c r="AD33" i="3"/>
  <c r="AF33" i="3"/>
  <c r="AE33" i="3"/>
  <c r="AS35" i="3"/>
  <c r="AF34" i="3" l="1"/>
  <c r="BA35" i="3"/>
  <c r="BD35" i="3"/>
  <c r="BE35" i="3"/>
  <c r="BB35" i="3"/>
  <c r="AZ35" i="3"/>
  <c r="AT35" i="3"/>
  <c r="AA35" i="3" s="1"/>
  <c r="BC35" i="3"/>
  <c r="AU35" i="3"/>
  <c r="AB35" i="3" s="1"/>
  <c r="AV35" i="3"/>
  <c r="AC35" i="3" s="1"/>
  <c r="AX35" i="3"/>
  <c r="AY35" i="3"/>
  <c r="AW35" i="3"/>
  <c r="AE34" i="3"/>
  <c r="AD34" i="3"/>
  <c r="AS36" i="3"/>
  <c r="BE36" i="3" l="1"/>
  <c r="BC36" i="3"/>
  <c r="BD36" i="3"/>
  <c r="BA36" i="3"/>
  <c r="AZ36" i="3"/>
  <c r="BB36" i="3"/>
  <c r="AT36" i="3"/>
  <c r="AA36" i="3" s="1"/>
  <c r="AX36" i="3"/>
  <c r="AU36" i="3"/>
  <c r="AB36" i="3" s="1"/>
  <c r="AV36" i="3"/>
  <c r="AC36" i="3" s="1"/>
  <c r="AY36" i="3"/>
  <c r="AW36" i="3"/>
  <c r="AD35" i="3"/>
  <c r="AE35" i="3"/>
  <c r="AF35" i="3"/>
  <c r="AS37" i="3"/>
  <c r="BD37" i="3" l="1"/>
  <c r="AZ37" i="3"/>
  <c r="BC37" i="3"/>
  <c r="BB37" i="3"/>
  <c r="BA37" i="3"/>
  <c r="AU37" i="3"/>
  <c r="AB37" i="3" s="1"/>
  <c r="AV37" i="3"/>
  <c r="AC37" i="3" s="1"/>
  <c r="BE37" i="3"/>
  <c r="AY37" i="3"/>
  <c r="AX37" i="3"/>
  <c r="AT37" i="3"/>
  <c r="AA37" i="3" s="1"/>
  <c r="AW37" i="3"/>
  <c r="AF36" i="3"/>
  <c r="AD36" i="3"/>
  <c r="AE36" i="3"/>
  <c r="AS38" i="3"/>
  <c r="AE37" i="3" l="1"/>
  <c r="BA38" i="3"/>
  <c r="BC38" i="3"/>
  <c r="BE38" i="3"/>
  <c r="AT38" i="3"/>
  <c r="AA38" i="3" s="1"/>
  <c r="AY38" i="3"/>
  <c r="AU38" i="3"/>
  <c r="AB38" i="3" s="1"/>
  <c r="BD38" i="3"/>
  <c r="AV38" i="3"/>
  <c r="AC38" i="3" s="1"/>
  <c r="BB38" i="3"/>
  <c r="AZ38" i="3"/>
  <c r="AX38" i="3"/>
  <c r="AW38" i="3"/>
  <c r="AF37" i="3"/>
  <c r="AD37" i="3"/>
  <c r="AS39" i="3"/>
  <c r="AD38" i="3" l="1"/>
  <c r="BA39" i="3"/>
  <c r="BE39" i="3"/>
  <c r="BC39" i="3"/>
  <c r="AY39" i="3"/>
  <c r="AZ39" i="3"/>
  <c r="AX39" i="3"/>
  <c r="BD39" i="3"/>
  <c r="AT39" i="3"/>
  <c r="AA39" i="3" s="1"/>
  <c r="BB39" i="3"/>
  <c r="AU39" i="3"/>
  <c r="AB39" i="3" s="1"/>
  <c r="AV39" i="3"/>
  <c r="AC39" i="3" s="1"/>
  <c r="AW39" i="3"/>
  <c r="AE38" i="3"/>
  <c r="AF38" i="3"/>
  <c r="AS40" i="3"/>
  <c r="BE40" i="3" l="1"/>
  <c r="BC40" i="3"/>
  <c r="BA40" i="3"/>
  <c r="AZ40" i="3"/>
  <c r="BB40" i="3"/>
  <c r="BD40" i="3"/>
  <c r="AY40" i="3"/>
  <c r="AT40" i="3"/>
  <c r="AA40" i="3" s="1"/>
  <c r="AU40" i="3"/>
  <c r="AB40" i="3" s="1"/>
  <c r="AX40" i="3"/>
  <c r="AV40" i="3"/>
  <c r="AC40" i="3" s="1"/>
  <c r="AW40" i="3"/>
  <c r="AD39" i="3"/>
  <c r="AE39" i="3"/>
  <c r="AF39" i="3"/>
  <c r="AS41" i="3"/>
  <c r="AD40" i="3" l="1"/>
  <c r="BE41" i="3"/>
  <c r="AY41" i="3"/>
  <c r="BC41" i="3"/>
  <c r="BB41" i="3"/>
  <c r="BA41" i="3"/>
  <c r="AZ41" i="3"/>
  <c r="AX41" i="3"/>
  <c r="AT41" i="3"/>
  <c r="AA41" i="3" s="1"/>
  <c r="AU41" i="3"/>
  <c r="AB41" i="3" s="1"/>
  <c r="AV41" i="3"/>
  <c r="AC41" i="3" s="1"/>
  <c r="BD41" i="3"/>
  <c r="AW41" i="3"/>
  <c r="AE40" i="3"/>
  <c r="AF40" i="3"/>
  <c r="AS42" i="3"/>
  <c r="AD41" i="3" l="1"/>
  <c r="BB42" i="3"/>
  <c r="BA42" i="3"/>
  <c r="BC42" i="3"/>
  <c r="BE42" i="3"/>
  <c r="AV42" i="3"/>
  <c r="AX42" i="3"/>
  <c r="BD42" i="3"/>
  <c r="AT42" i="3"/>
  <c r="AA42" i="3" s="1"/>
  <c r="AY42" i="3"/>
  <c r="AZ42" i="3"/>
  <c r="AU42" i="3"/>
  <c r="AB42" i="3" s="1"/>
  <c r="AW42" i="3"/>
  <c r="AF41" i="3"/>
  <c r="AE41" i="3"/>
  <c r="AS43" i="3"/>
  <c r="AC42" i="3"/>
  <c r="BA43" i="3" l="1"/>
  <c r="BD43" i="3"/>
  <c r="BE43" i="3"/>
  <c r="BC43" i="3"/>
  <c r="AY43" i="3"/>
  <c r="AT43" i="3"/>
  <c r="AA43" i="3" s="1"/>
  <c r="AU43" i="3"/>
  <c r="AB43" i="3" s="1"/>
  <c r="AV43" i="3"/>
  <c r="AC43" i="3" s="1"/>
  <c r="AX43" i="3"/>
  <c r="AZ43" i="3"/>
  <c r="BB43" i="3"/>
  <c r="AW43" i="3"/>
  <c r="AE42" i="3"/>
  <c r="AF42" i="3"/>
  <c r="AD42" i="3"/>
  <c r="AS44" i="3"/>
  <c r="BD44" i="3" l="1"/>
  <c r="BE44" i="3"/>
  <c r="BC44" i="3"/>
  <c r="AY44" i="3"/>
  <c r="BB44" i="3"/>
  <c r="BA44" i="3"/>
  <c r="AZ44" i="3"/>
  <c r="AX44" i="3"/>
  <c r="AT44" i="3"/>
  <c r="AU44" i="3"/>
  <c r="AB44" i="3" s="1"/>
  <c r="AV44" i="3"/>
  <c r="AC44" i="3" s="1"/>
  <c r="AW44" i="3"/>
  <c r="AD43" i="3"/>
  <c r="AF43" i="3"/>
  <c r="AE43" i="3"/>
  <c r="AS45" i="3"/>
  <c r="AA44" i="3"/>
  <c r="AD44" i="3" l="1"/>
  <c r="BE45" i="3"/>
  <c r="BD45" i="3"/>
  <c r="AZ45" i="3"/>
  <c r="BC45" i="3"/>
  <c r="AU45" i="3"/>
  <c r="AB45" i="3" s="1"/>
  <c r="AV45" i="3"/>
  <c r="AC45" i="3" s="1"/>
  <c r="BB45" i="3"/>
  <c r="BA45" i="3"/>
  <c r="AX45" i="3"/>
  <c r="AT45" i="3"/>
  <c r="AA45" i="3" s="1"/>
  <c r="AY45" i="3"/>
  <c r="AW45" i="3"/>
  <c r="AF44" i="3"/>
  <c r="AE44" i="3"/>
  <c r="AS46" i="3"/>
  <c r="AE45" i="3" l="1"/>
  <c r="AF45" i="3"/>
  <c r="BD46" i="3"/>
  <c r="AZ46" i="3"/>
  <c r="BB46" i="3"/>
  <c r="BA46" i="3"/>
  <c r="BC46" i="3"/>
  <c r="BE46" i="3"/>
  <c r="AT46" i="3"/>
  <c r="AU46" i="3"/>
  <c r="AB46" i="3" s="1"/>
  <c r="AY46" i="3"/>
  <c r="AV46" i="3"/>
  <c r="AC46" i="3" s="1"/>
  <c r="AX46" i="3"/>
  <c r="AW46" i="3"/>
  <c r="AD45" i="3"/>
  <c r="AS47" i="3"/>
  <c r="AA46" i="3"/>
  <c r="BB47" i="3" l="1"/>
  <c r="BA47" i="3"/>
  <c r="BD47" i="3"/>
  <c r="BE47" i="3"/>
  <c r="BC47" i="3"/>
  <c r="AY47" i="3"/>
  <c r="AX47" i="3"/>
  <c r="AT47" i="3"/>
  <c r="AA47" i="3" s="1"/>
  <c r="AU47" i="3"/>
  <c r="AB47" i="3" s="1"/>
  <c r="AZ47" i="3"/>
  <c r="AV47" i="3"/>
  <c r="AC47" i="3" s="1"/>
  <c r="AW47" i="3"/>
  <c r="AE46" i="3"/>
  <c r="AD46" i="3"/>
  <c r="AF46" i="3"/>
  <c r="AS48" i="3"/>
  <c r="AD47" i="3" l="1"/>
  <c r="BB48" i="3"/>
  <c r="BD48" i="3"/>
  <c r="BE48" i="3"/>
  <c r="BC48" i="3"/>
  <c r="AT48" i="3"/>
  <c r="AA48" i="3" s="1"/>
  <c r="AU48" i="3"/>
  <c r="AB48" i="3" s="1"/>
  <c r="AY48" i="3"/>
  <c r="AV48" i="3"/>
  <c r="AC48" i="3" s="1"/>
  <c r="BA48" i="3"/>
  <c r="AZ48" i="3"/>
  <c r="AX48" i="3"/>
  <c r="AW48" i="3"/>
  <c r="AE47" i="3"/>
  <c r="AF47" i="3"/>
  <c r="AS49" i="3"/>
  <c r="BE49" i="3" l="1"/>
  <c r="BD49" i="3"/>
  <c r="AZ49" i="3"/>
  <c r="AY49" i="3"/>
  <c r="BB49" i="3"/>
  <c r="BA49" i="3"/>
  <c r="BC49" i="3"/>
  <c r="AT49" i="3"/>
  <c r="AA49" i="3" s="1"/>
  <c r="AU49" i="3"/>
  <c r="AV49" i="3"/>
  <c r="AC49" i="3" s="1"/>
  <c r="AX49" i="3"/>
  <c r="AW49" i="3"/>
  <c r="AD48" i="3"/>
  <c r="AF48" i="3"/>
  <c r="AE48" i="3"/>
  <c r="AS50" i="3"/>
  <c r="AB49" i="3"/>
  <c r="AE49" i="3" l="1"/>
  <c r="BB50" i="3"/>
  <c r="BA50" i="3"/>
  <c r="AZ50" i="3"/>
  <c r="AX50" i="3"/>
  <c r="AV50" i="3"/>
  <c r="AC50" i="3" s="1"/>
  <c r="BE50" i="3"/>
  <c r="BC50" i="3"/>
  <c r="AT50" i="3"/>
  <c r="AA50" i="3" s="1"/>
  <c r="BD50" i="3"/>
  <c r="AY50" i="3"/>
  <c r="AU50" i="3"/>
  <c r="AB50" i="3" s="1"/>
  <c r="AW50" i="3"/>
  <c r="AD49" i="3"/>
  <c r="AF49" i="3"/>
  <c r="AS51" i="3"/>
  <c r="AZ51" i="3" l="1"/>
  <c r="BB51" i="3"/>
  <c r="BA51" i="3"/>
  <c r="BD51" i="3"/>
  <c r="BE51" i="3"/>
  <c r="BC51" i="3"/>
  <c r="AX51" i="3"/>
  <c r="AT51" i="3"/>
  <c r="AA51" i="3" s="1"/>
  <c r="AY51" i="3"/>
  <c r="AU51" i="3"/>
  <c r="AB51" i="3" s="1"/>
  <c r="AV51" i="3"/>
  <c r="AC51" i="3" s="1"/>
  <c r="AW51" i="3"/>
  <c r="AF50" i="3"/>
  <c r="AE50" i="3"/>
  <c r="AD50" i="3"/>
  <c r="AS52" i="3"/>
  <c r="AF51" i="3" l="1"/>
  <c r="BA52" i="3"/>
  <c r="AZ52" i="3"/>
  <c r="BB52" i="3"/>
  <c r="BD52" i="3"/>
  <c r="BE52" i="3"/>
  <c r="AY52" i="3"/>
  <c r="AT52" i="3"/>
  <c r="AA52" i="3" s="1"/>
  <c r="AU52" i="3"/>
  <c r="AB52" i="3" s="1"/>
  <c r="AX52" i="3"/>
  <c r="AV52" i="3"/>
  <c r="AC52" i="3" s="1"/>
  <c r="BC52" i="3"/>
  <c r="AW52" i="3"/>
  <c r="AD51" i="3"/>
  <c r="AE51" i="3"/>
  <c r="AS53" i="3"/>
  <c r="AF52" i="3" l="1"/>
  <c r="BB53" i="3"/>
  <c r="BA53" i="3"/>
  <c r="AY53" i="3"/>
  <c r="BE53" i="3"/>
  <c r="BD53" i="3"/>
  <c r="AZ53" i="3"/>
  <c r="AU53" i="3"/>
  <c r="AB53" i="3" s="1"/>
  <c r="AV53" i="3"/>
  <c r="AC53" i="3" s="1"/>
  <c r="BC53" i="3"/>
  <c r="AT53" i="3"/>
  <c r="AA53" i="3" s="1"/>
  <c r="AX53" i="3"/>
  <c r="AW53" i="3"/>
  <c r="AE52" i="3"/>
  <c r="AD52" i="3"/>
  <c r="AS54" i="3"/>
  <c r="BE54" i="3" l="1"/>
  <c r="BD54" i="3"/>
  <c r="AZ54" i="3"/>
  <c r="BB54" i="3"/>
  <c r="BA54" i="3"/>
  <c r="AT54" i="3"/>
  <c r="AA54" i="3" s="1"/>
  <c r="AX54" i="3"/>
  <c r="AU54" i="3"/>
  <c r="AB54" i="3" s="1"/>
  <c r="AV54" i="3"/>
  <c r="AY54" i="3"/>
  <c r="BC54" i="3"/>
  <c r="AW54" i="3"/>
  <c r="AF53" i="3"/>
  <c r="AE53" i="3"/>
  <c r="AD53" i="3"/>
  <c r="AS55" i="3"/>
  <c r="AC54" i="3"/>
  <c r="BB55" i="3" l="1"/>
  <c r="BA55" i="3"/>
  <c r="BD55" i="3"/>
  <c r="AX55" i="3"/>
  <c r="AY55" i="3"/>
  <c r="BC55" i="3"/>
  <c r="AT55" i="3"/>
  <c r="AA55" i="3" s="1"/>
  <c r="AU55" i="3"/>
  <c r="AB55" i="3" s="1"/>
  <c r="BE55" i="3"/>
  <c r="AV55" i="3"/>
  <c r="AC55" i="3" s="1"/>
  <c r="AZ55" i="3"/>
  <c r="AW55" i="3"/>
  <c r="AE54" i="3"/>
  <c r="AF54" i="3"/>
  <c r="AD54" i="3"/>
  <c r="AS56" i="3"/>
  <c r="BA56" i="3" l="1"/>
  <c r="BB56" i="3"/>
  <c r="BD56" i="3"/>
  <c r="BC56" i="3"/>
  <c r="AX56" i="3"/>
  <c r="AT56" i="3"/>
  <c r="AA56" i="3" s="1"/>
  <c r="AU56" i="3"/>
  <c r="AB56" i="3" s="1"/>
  <c r="BE56" i="3"/>
  <c r="AV56" i="3"/>
  <c r="AC56" i="3" s="1"/>
  <c r="AY56" i="3"/>
  <c r="AZ56" i="3"/>
  <c r="AW56" i="3"/>
  <c r="AF55" i="3"/>
  <c r="AD55" i="3"/>
  <c r="AE55" i="3"/>
  <c r="AS57" i="3"/>
  <c r="AF56" i="3" l="1"/>
  <c r="BC57" i="3"/>
  <c r="BB57" i="3"/>
  <c r="BE57" i="3"/>
  <c r="BD57" i="3"/>
  <c r="AZ57" i="3"/>
  <c r="AX57" i="3"/>
  <c r="AT57" i="3"/>
  <c r="AA57" i="3" s="1"/>
  <c r="BA57" i="3"/>
  <c r="AU57" i="3"/>
  <c r="AB57" i="3" s="1"/>
  <c r="AV57" i="3"/>
  <c r="AC57" i="3" s="1"/>
  <c r="AY57" i="3"/>
  <c r="AW57" i="3"/>
  <c r="AE56" i="3"/>
  <c r="AD56" i="3"/>
  <c r="AS58" i="3"/>
  <c r="BA58" i="3" l="1"/>
  <c r="BC58" i="3"/>
  <c r="BE58" i="3"/>
  <c r="BD58" i="3"/>
  <c r="AZ58" i="3"/>
  <c r="BB58" i="3"/>
  <c r="AY58" i="3"/>
  <c r="AV58" i="3"/>
  <c r="AC58" i="3" s="1"/>
  <c r="AX58" i="3"/>
  <c r="AT58" i="3"/>
  <c r="AA58" i="3" s="1"/>
  <c r="AU58" i="3"/>
  <c r="AB58" i="3" s="1"/>
  <c r="AW58" i="3"/>
  <c r="AD57" i="3"/>
  <c r="AF57" i="3"/>
  <c r="AE57" i="3"/>
  <c r="AS59" i="3"/>
  <c r="AE58" i="3" l="1"/>
  <c r="AD58" i="3"/>
  <c r="AZ59" i="3"/>
  <c r="BB59" i="3"/>
  <c r="AT59" i="3"/>
  <c r="AA59" i="3" s="1"/>
  <c r="BD59" i="3"/>
  <c r="AY59" i="3"/>
  <c r="AU59" i="3"/>
  <c r="AB59" i="3" s="1"/>
  <c r="AX59" i="3"/>
  <c r="AV59" i="3"/>
  <c r="AC59" i="3" s="1"/>
  <c r="BA59" i="3"/>
  <c r="BC59" i="3"/>
  <c r="BE59" i="3"/>
  <c r="AW59" i="3"/>
  <c r="AF58" i="3"/>
  <c r="AS60" i="3"/>
  <c r="AE59" i="3" l="1"/>
  <c r="AF59" i="3"/>
  <c r="BC60" i="3"/>
  <c r="BA60" i="3"/>
  <c r="AZ60" i="3"/>
  <c r="AY60" i="3"/>
  <c r="BB60" i="3"/>
  <c r="BD60" i="3"/>
  <c r="AX60" i="3"/>
  <c r="BE60" i="3"/>
  <c r="AT60" i="3"/>
  <c r="AA60" i="3" s="1"/>
  <c r="AU60" i="3"/>
  <c r="AB60" i="3" s="1"/>
  <c r="AV60" i="3"/>
  <c r="AC60" i="3" s="1"/>
  <c r="AW60" i="3"/>
  <c r="AD59" i="3"/>
  <c r="AS61" i="3"/>
  <c r="BB61" i="3" l="1"/>
  <c r="BA61" i="3"/>
  <c r="BE61" i="3"/>
  <c r="BD61" i="3"/>
  <c r="AY61" i="3"/>
  <c r="AU61" i="3"/>
  <c r="AB61" i="3" s="1"/>
  <c r="AV61" i="3"/>
  <c r="AC61" i="3" s="1"/>
  <c r="AZ61" i="3"/>
  <c r="AX61" i="3"/>
  <c r="BC61" i="3"/>
  <c r="AT61" i="3"/>
  <c r="AA61" i="3" s="1"/>
  <c r="AW61" i="3"/>
  <c r="AE60" i="3"/>
  <c r="AD60" i="3"/>
  <c r="AF60" i="3"/>
  <c r="AS62" i="3"/>
  <c r="AE61" i="3" l="1"/>
  <c r="AD61" i="3"/>
  <c r="AY62" i="3"/>
  <c r="BE62" i="3"/>
  <c r="BD62" i="3"/>
  <c r="AZ62" i="3"/>
  <c r="BB62" i="3"/>
  <c r="BA62" i="3"/>
  <c r="AT62" i="3"/>
  <c r="AX62" i="3"/>
  <c r="AU62" i="3"/>
  <c r="AB62" i="3" s="1"/>
  <c r="AV62" i="3"/>
  <c r="AC62" i="3" s="1"/>
  <c r="BC62" i="3"/>
  <c r="AW62" i="3"/>
  <c r="AF61" i="3"/>
  <c r="AS63" i="3"/>
  <c r="AA62" i="3"/>
  <c r="AD62" i="3" l="1"/>
  <c r="BE63" i="3"/>
  <c r="BC63" i="3"/>
  <c r="AZ63" i="3"/>
  <c r="BB63" i="3"/>
  <c r="BD63" i="3"/>
  <c r="AY63" i="3"/>
  <c r="BA63" i="3"/>
  <c r="AX63" i="3"/>
  <c r="AT63" i="3"/>
  <c r="AA63" i="3" s="1"/>
  <c r="AU63" i="3"/>
  <c r="AB63" i="3" s="1"/>
  <c r="AV63" i="3"/>
  <c r="AC63" i="3" s="1"/>
  <c r="AW63" i="3"/>
  <c r="AE62" i="3"/>
  <c r="AF62" i="3"/>
  <c r="AS64" i="3"/>
  <c r="BE64" i="3" l="1"/>
  <c r="BA64" i="3"/>
  <c r="AZ64" i="3"/>
  <c r="BB64" i="3"/>
  <c r="AT64" i="3"/>
  <c r="AA64" i="3" s="1"/>
  <c r="AU64" i="3"/>
  <c r="AB64" i="3" s="1"/>
  <c r="BC64" i="3"/>
  <c r="AY64" i="3"/>
  <c r="BD64" i="3"/>
  <c r="AV64" i="3"/>
  <c r="AC64" i="3" s="1"/>
  <c r="AX64" i="3"/>
  <c r="AW64" i="3"/>
  <c r="AE63" i="3"/>
  <c r="AD63" i="3"/>
  <c r="AF63" i="3"/>
  <c r="AS65" i="3"/>
  <c r="BC65" i="3" l="1"/>
  <c r="BB65" i="3"/>
  <c r="BA65" i="3"/>
  <c r="AY65" i="3"/>
  <c r="BD65" i="3"/>
  <c r="AX65" i="3"/>
  <c r="BE65" i="3"/>
  <c r="AZ65" i="3"/>
  <c r="AT65" i="3"/>
  <c r="AU65" i="3"/>
  <c r="AV65" i="3"/>
  <c r="AW65" i="3"/>
  <c r="AF64" i="3"/>
  <c r="AE64" i="3"/>
  <c r="AD64" i="3"/>
  <c r="AS66" i="3"/>
  <c r="AA65" i="3"/>
  <c r="AB65" i="3"/>
  <c r="AC65" i="3"/>
  <c r="AW66" i="3" l="1"/>
  <c r="BA66" i="3"/>
  <c r="BC66" i="3"/>
  <c r="BE66" i="3"/>
  <c r="BD66" i="3"/>
  <c r="AZ66" i="3"/>
  <c r="AV66" i="3"/>
  <c r="AC66" i="3" s="1"/>
  <c r="AY66" i="3"/>
  <c r="AX66" i="3"/>
  <c r="BB66" i="3"/>
  <c r="AT66" i="3"/>
  <c r="AA66" i="3" s="1"/>
  <c r="AU66" i="3"/>
  <c r="AB66" i="3" s="1"/>
  <c r="AD65" i="3"/>
  <c r="AE65" i="3"/>
  <c r="AF65" i="3"/>
  <c r="AS67" i="3"/>
  <c r="AW67" i="3" l="1"/>
  <c r="BA67" i="3"/>
  <c r="BD67" i="3"/>
  <c r="BE67" i="3"/>
  <c r="AZ67" i="3"/>
  <c r="BB67" i="3"/>
  <c r="AT67" i="3"/>
  <c r="AA67" i="3" s="1"/>
  <c r="AU67" i="3"/>
  <c r="AB67" i="3" s="1"/>
  <c r="AY67" i="3"/>
  <c r="AV67" i="3"/>
  <c r="AC67" i="3" s="1"/>
  <c r="BC67" i="3"/>
  <c r="AX67" i="3"/>
  <c r="AD66" i="3"/>
  <c r="AF66" i="3"/>
  <c r="AE66" i="3"/>
  <c r="AS68" i="3"/>
  <c r="AE67" i="3" l="1"/>
  <c r="AW68" i="3"/>
  <c r="BD68" i="3"/>
  <c r="BE68" i="3"/>
  <c r="BC68" i="3"/>
  <c r="BA68" i="3"/>
  <c r="AZ68" i="3"/>
  <c r="BB68" i="3"/>
  <c r="AY68" i="3"/>
  <c r="AX68" i="3"/>
  <c r="AT68" i="3"/>
  <c r="AA68" i="3" s="1"/>
  <c r="AU68" i="3"/>
  <c r="AB68" i="3" s="1"/>
  <c r="AV68" i="3"/>
  <c r="AC68" i="3" s="1"/>
  <c r="AD67" i="3"/>
  <c r="AF67" i="3"/>
  <c r="AS69" i="3"/>
  <c r="AD68" i="3" l="1"/>
  <c r="AW69" i="3"/>
  <c r="BD69" i="3"/>
  <c r="AZ69" i="3"/>
  <c r="AY69" i="3"/>
  <c r="BC69" i="3"/>
  <c r="BB69" i="3"/>
  <c r="AU69" i="3"/>
  <c r="AB69" i="3" s="1"/>
  <c r="AV69" i="3"/>
  <c r="AC69" i="3" s="1"/>
  <c r="BA69" i="3"/>
  <c r="BE69" i="3"/>
  <c r="AX69" i="3"/>
  <c r="AT69" i="3"/>
  <c r="AA69" i="3" s="1"/>
  <c r="AF68" i="3"/>
  <c r="AE68" i="3"/>
  <c r="AS70" i="3"/>
  <c r="AD69" i="3" l="1"/>
  <c r="AW70" i="3"/>
  <c r="BA70" i="3"/>
  <c r="BE70" i="3"/>
  <c r="BC70" i="3"/>
  <c r="AZ70" i="3"/>
  <c r="AT70" i="3"/>
  <c r="AA70" i="3" s="1"/>
  <c r="AU70" i="3"/>
  <c r="AB70" i="3" s="1"/>
  <c r="AV70" i="3"/>
  <c r="AC70" i="3" s="1"/>
  <c r="AY70" i="3"/>
  <c r="BB70" i="3"/>
  <c r="BD70" i="3"/>
  <c r="AX70" i="3"/>
  <c r="AE69" i="3"/>
  <c r="AF69" i="3"/>
  <c r="AS71" i="3"/>
  <c r="AW71" i="3" l="1"/>
  <c r="AY71" i="3"/>
  <c r="BC71" i="3"/>
  <c r="BE71" i="3"/>
  <c r="AZ71" i="3"/>
  <c r="BB71" i="3"/>
  <c r="AX71" i="3"/>
  <c r="BD71" i="3"/>
  <c r="AU71" i="3"/>
  <c r="AT71" i="3"/>
  <c r="BA71" i="3"/>
  <c r="AV71" i="3"/>
  <c r="AC71" i="3" s="1"/>
  <c r="AD70" i="3"/>
  <c r="AE70" i="3"/>
  <c r="AF70" i="3"/>
  <c r="AS72" i="3"/>
  <c r="AB71" i="3"/>
  <c r="AA71" i="3"/>
  <c r="AW72" i="3" l="1"/>
  <c r="BE72" i="3"/>
  <c r="BC72" i="3"/>
  <c r="BA72" i="3"/>
  <c r="AZ72" i="3"/>
  <c r="AT72" i="3"/>
  <c r="AA72" i="3" s="1"/>
  <c r="AU72" i="3"/>
  <c r="AB72" i="3" s="1"/>
  <c r="BB72" i="3"/>
  <c r="AY72" i="3"/>
  <c r="AX72" i="3"/>
  <c r="AV72" i="3"/>
  <c r="AC72" i="3" s="1"/>
  <c r="BD72" i="3"/>
  <c r="AF71" i="3"/>
  <c r="AE71" i="3"/>
  <c r="AD71" i="3"/>
  <c r="AS73" i="3"/>
  <c r="AF72" i="3" l="1"/>
  <c r="AW73" i="3"/>
  <c r="BE73" i="3"/>
  <c r="BC73" i="3"/>
  <c r="BB73" i="3"/>
  <c r="BA73" i="3"/>
  <c r="AY73" i="3"/>
  <c r="BD73" i="3"/>
  <c r="AT73" i="3"/>
  <c r="AA73" i="3" s="1"/>
  <c r="AZ73" i="3"/>
  <c r="AU73" i="3"/>
  <c r="AB73" i="3" s="1"/>
  <c r="AV73" i="3"/>
  <c r="AC73" i="3" s="1"/>
  <c r="AX73" i="3"/>
  <c r="AE72" i="3"/>
  <c r="AD72" i="3"/>
  <c r="AS74" i="3"/>
  <c r="AF73" i="3" l="1"/>
  <c r="AW74" i="3"/>
  <c r="BB74" i="3"/>
  <c r="BA74" i="3"/>
  <c r="BE74" i="3"/>
  <c r="BD74" i="3"/>
  <c r="AX74" i="3"/>
  <c r="AV74" i="3"/>
  <c r="AC74" i="3" s="1"/>
  <c r="BC74" i="3"/>
  <c r="AZ74" i="3"/>
  <c r="AY74" i="3"/>
  <c r="AT74" i="3"/>
  <c r="AA74" i="3" s="1"/>
  <c r="AU74" i="3"/>
  <c r="AB74" i="3" s="1"/>
  <c r="AE73" i="3"/>
  <c r="AD73" i="3"/>
  <c r="AS75" i="3"/>
  <c r="AW75" i="3" l="1"/>
  <c r="BA75" i="3"/>
  <c r="BD75" i="3"/>
  <c r="AY75" i="3"/>
  <c r="BC75" i="3"/>
  <c r="AZ75" i="3"/>
  <c r="AT75" i="3"/>
  <c r="AA75" i="3" s="1"/>
  <c r="BB75" i="3"/>
  <c r="AX75" i="3"/>
  <c r="AU75" i="3"/>
  <c r="AB75" i="3" s="1"/>
  <c r="AV75" i="3"/>
  <c r="AC75" i="3" s="1"/>
  <c r="BE75" i="3"/>
  <c r="AE74" i="3"/>
  <c r="AF74" i="3"/>
  <c r="AD74" i="3"/>
  <c r="AS76" i="3"/>
  <c r="AE75" i="3" l="1"/>
  <c r="AW76" i="3"/>
  <c r="AY76" i="3"/>
  <c r="BD76" i="3"/>
  <c r="BE76" i="3"/>
  <c r="BC76" i="3"/>
  <c r="BB76" i="3"/>
  <c r="AT76" i="3"/>
  <c r="AA76" i="3" s="1"/>
  <c r="AX76" i="3"/>
  <c r="AU76" i="3"/>
  <c r="AB76" i="3" s="1"/>
  <c r="BA76" i="3"/>
  <c r="AV76" i="3"/>
  <c r="AC76" i="3" s="1"/>
  <c r="AZ76" i="3"/>
  <c r="AD75" i="3"/>
  <c r="AF75" i="3"/>
  <c r="AS77" i="3"/>
  <c r="AD76" i="3" l="1"/>
  <c r="AW77" i="3"/>
  <c r="BE77" i="3"/>
  <c r="BD77" i="3"/>
  <c r="AZ77" i="3"/>
  <c r="BC77" i="3"/>
  <c r="AU77" i="3"/>
  <c r="AB77" i="3" s="1"/>
  <c r="AV77" i="3"/>
  <c r="AC77" i="3" s="1"/>
  <c r="BA77" i="3"/>
  <c r="AY77" i="3"/>
  <c r="AX77" i="3"/>
  <c r="BB77" i="3"/>
  <c r="AT77" i="3"/>
  <c r="AA77" i="3" s="1"/>
  <c r="AF76" i="3"/>
  <c r="AE76" i="3"/>
  <c r="AS78" i="3"/>
  <c r="AF77" i="3" l="1"/>
  <c r="AD77" i="3"/>
  <c r="AE77" i="3"/>
  <c r="AW78" i="3"/>
  <c r="BD78" i="3"/>
  <c r="AZ78" i="3"/>
  <c r="BB78" i="3"/>
  <c r="AY78" i="3"/>
  <c r="BA78" i="3"/>
  <c r="AX78" i="3"/>
  <c r="BC78" i="3"/>
  <c r="AT78" i="3"/>
  <c r="AA78" i="3" s="1"/>
  <c r="AU78" i="3"/>
  <c r="AB78" i="3" s="1"/>
  <c r="BE78" i="3"/>
  <c r="AV78" i="3"/>
  <c r="AC78" i="3" s="1"/>
  <c r="AS79" i="3"/>
  <c r="AD78" i="3" l="1"/>
  <c r="AW79" i="3"/>
  <c r="BB79" i="3"/>
  <c r="BA79" i="3"/>
  <c r="BD79" i="3"/>
  <c r="BC79" i="3"/>
  <c r="AZ79" i="3"/>
  <c r="AX79" i="3"/>
  <c r="AY79" i="3"/>
  <c r="AT79" i="3"/>
  <c r="AA79" i="3" s="1"/>
  <c r="AU79" i="3"/>
  <c r="AB79" i="3" s="1"/>
  <c r="AV79" i="3"/>
  <c r="AC79" i="3" s="1"/>
  <c r="BE79" i="3"/>
  <c r="AE78" i="3"/>
  <c r="AF78" i="3"/>
  <c r="AS80" i="3"/>
  <c r="AW80" i="3" l="1"/>
  <c r="BB80" i="3"/>
  <c r="BD80" i="3"/>
  <c r="BE80" i="3"/>
  <c r="BC80" i="3"/>
  <c r="AZ80" i="3"/>
  <c r="AT80" i="3"/>
  <c r="AA80" i="3" s="1"/>
  <c r="AU80" i="3"/>
  <c r="AB80" i="3" s="1"/>
  <c r="AY80" i="3"/>
  <c r="AV80" i="3"/>
  <c r="AC80" i="3" s="1"/>
  <c r="BA80" i="3"/>
  <c r="AX80" i="3"/>
  <c r="AF79" i="3"/>
  <c r="AD79" i="3"/>
  <c r="AE79" i="3"/>
  <c r="AS81" i="3"/>
  <c r="AW81" i="3" l="1"/>
  <c r="BA81" i="3"/>
  <c r="AY81" i="3"/>
  <c r="BE81" i="3"/>
  <c r="BD81" i="3"/>
  <c r="AZ81" i="3"/>
  <c r="AT81" i="3"/>
  <c r="AA81" i="3" s="1"/>
  <c r="AX81" i="3"/>
  <c r="AU81" i="3"/>
  <c r="BB81" i="3"/>
  <c r="AV81" i="3"/>
  <c r="AC81" i="3" s="1"/>
  <c r="BC81" i="3"/>
  <c r="AF80" i="3"/>
  <c r="AE80" i="3"/>
  <c r="AD80" i="3"/>
  <c r="AS82" i="3"/>
  <c r="AB81" i="3"/>
  <c r="AF81" i="3" l="1"/>
  <c r="AW82" i="3"/>
  <c r="BB82" i="3"/>
  <c r="BC82" i="3"/>
  <c r="AY82" i="3"/>
  <c r="AV82" i="3"/>
  <c r="AC82" i="3" s="1"/>
  <c r="BD82" i="3"/>
  <c r="BA82" i="3"/>
  <c r="AZ82" i="3"/>
  <c r="AX82" i="3"/>
  <c r="BE82" i="3"/>
  <c r="AT82" i="3"/>
  <c r="AA82" i="3" s="1"/>
  <c r="AU82" i="3"/>
  <c r="AB82" i="3" s="1"/>
  <c r="AE81" i="3"/>
  <c r="AD81" i="3"/>
  <c r="AS83" i="3"/>
  <c r="AF82" i="3" l="1"/>
  <c r="AE82" i="3"/>
  <c r="AW83" i="3"/>
  <c r="BE83" i="3"/>
  <c r="AZ83" i="3"/>
  <c r="BB83" i="3"/>
  <c r="BA83" i="3"/>
  <c r="BD83" i="3"/>
  <c r="BC83" i="3"/>
  <c r="AT83" i="3"/>
  <c r="AA83" i="3" s="1"/>
  <c r="AU83" i="3"/>
  <c r="AB83" i="3" s="1"/>
  <c r="AV83" i="3"/>
  <c r="AC83" i="3" s="1"/>
  <c r="AY83" i="3"/>
  <c r="AX83" i="3"/>
  <c r="AD82" i="3"/>
  <c r="AS84" i="3"/>
  <c r="AF83" i="3" l="1"/>
  <c r="AW84" i="3"/>
  <c r="BA84" i="3"/>
  <c r="AZ84" i="3"/>
  <c r="BB84" i="3"/>
  <c r="BD84" i="3"/>
  <c r="BE84" i="3"/>
  <c r="AX84" i="3"/>
  <c r="BC84" i="3"/>
  <c r="AT84" i="3"/>
  <c r="AA84" i="3" s="1"/>
  <c r="AY84" i="3"/>
  <c r="AU84" i="3"/>
  <c r="AB84" i="3" s="1"/>
  <c r="AV84" i="3"/>
  <c r="AC84" i="3" s="1"/>
  <c r="AE83" i="3"/>
  <c r="AD83" i="3"/>
  <c r="AS85" i="3"/>
  <c r="AW85" i="3" l="1"/>
  <c r="BB85" i="3"/>
  <c r="BA85" i="3"/>
  <c r="BE85" i="3"/>
  <c r="BD85" i="3"/>
  <c r="AZ85" i="3"/>
  <c r="AY85" i="3"/>
  <c r="AU85" i="3"/>
  <c r="AB85" i="3" s="1"/>
  <c r="AV85" i="3"/>
  <c r="AC85" i="3" s="1"/>
  <c r="AX85" i="3"/>
  <c r="BC85" i="3"/>
  <c r="AT85" i="3"/>
  <c r="AA85" i="3" s="1"/>
  <c r="AE84" i="3"/>
  <c r="AD84" i="3"/>
  <c r="AF84" i="3"/>
  <c r="AS86" i="3"/>
  <c r="AD85" i="3" l="1"/>
  <c r="AW86" i="3"/>
  <c r="BE86" i="3"/>
  <c r="BD86" i="3"/>
  <c r="AZ86" i="3"/>
  <c r="BC86" i="3"/>
  <c r="BB86" i="3"/>
  <c r="AT86" i="3"/>
  <c r="AA86" i="3" s="1"/>
  <c r="AU86" i="3"/>
  <c r="AB86" i="3" s="1"/>
  <c r="BA86" i="3"/>
  <c r="AV86" i="3"/>
  <c r="AC86" i="3" s="1"/>
  <c r="AX86" i="3"/>
  <c r="AY86" i="3"/>
  <c r="AE85" i="3"/>
  <c r="AF85" i="3"/>
  <c r="AS87" i="3"/>
  <c r="AD86" i="3" l="1"/>
  <c r="AW87" i="3"/>
  <c r="BE87" i="3"/>
  <c r="BB87" i="3"/>
  <c r="AY87" i="3"/>
  <c r="BA87" i="3"/>
  <c r="BD87" i="3"/>
  <c r="AZ87" i="3"/>
  <c r="AX87" i="3"/>
  <c r="AT87" i="3"/>
  <c r="AA87" i="3" s="1"/>
  <c r="AU87" i="3"/>
  <c r="AB87" i="3" s="1"/>
  <c r="BC87" i="3"/>
  <c r="AV87" i="3"/>
  <c r="AC87" i="3" s="1"/>
  <c r="AE86" i="3"/>
  <c r="AF86" i="3"/>
  <c r="AS88" i="3"/>
  <c r="AW88" i="3" l="1"/>
  <c r="BA88" i="3"/>
  <c r="BB88" i="3"/>
  <c r="BD88" i="3"/>
  <c r="AT88" i="3"/>
  <c r="AA88" i="3" s="1"/>
  <c r="AU88" i="3"/>
  <c r="AB88" i="3" s="1"/>
  <c r="AZ88" i="3"/>
  <c r="AX88" i="3"/>
  <c r="AV88" i="3"/>
  <c r="AC88" i="3" s="1"/>
  <c r="BC88" i="3"/>
  <c r="AY88" i="3"/>
  <c r="BE88" i="3"/>
  <c r="AF87" i="3"/>
  <c r="AD87" i="3"/>
  <c r="AE87" i="3"/>
  <c r="AS89" i="3"/>
  <c r="AF88" i="3" l="1"/>
  <c r="AW89" i="3"/>
  <c r="BC89" i="3"/>
  <c r="BB89" i="3"/>
  <c r="BA89" i="3"/>
  <c r="BE89" i="3"/>
  <c r="BD89" i="3"/>
  <c r="AZ89" i="3"/>
  <c r="AY89" i="3"/>
  <c r="AX89" i="3"/>
  <c r="AT89" i="3"/>
  <c r="AA89" i="3" s="1"/>
  <c r="AU89" i="3"/>
  <c r="AB89" i="3" s="1"/>
  <c r="AV89" i="3"/>
  <c r="AC89" i="3" s="1"/>
  <c r="AE88" i="3"/>
  <c r="AD88" i="3"/>
  <c r="AS90" i="3"/>
  <c r="AF89" i="3" l="1"/>
  <c r="AW90" i="3"/>
  <c r="BA90" i="3"/>
  <c r="BE90" i="3"/>
  <c r="BD90" i="3"/>
  <c r="AZ90" i="3"/>
  <c r="BC90" i="3"/>
  <c r="BB90" i="3"/>
  <c r="AV90" i="3"/>
  <c r="AC90" i="3" s="1"/>
  <c r="AY90" i="3"/>
  <c r="AT90" i="3"/>
  <c r="AA90" i="3" s="1"/>
  <c r="AU90" i="3"/>
  <c r="AB90" i="3" s="1"/>
  <c r="AX90" i="3"/>
  <c r="AE89" i="3"/>
  <c r="AD89" i="3"/>
  <c r="AS91" i="3"/>
  <c r="AF90" i="3" l="1"/>
  <c r="AD90" i="3"/>
  <c r="AW91" i="3"/>
  <c r="BE91" i="3"/>
  <c r="AZ91" i="3"/>
  <c r="BB91" i="3"/>
  <c r="AT91" i="3"/>
  <c r="AA91" i="3" s="1"/>
  <c r="AU91" i="3"/>
  <c r="AB91" i="3" s="1"/>
  <c r="AV91" i="3"/>
  <c r="AC91" i="3" s="1"/>
  <c r="BD91" i="3"/>
  <c r="AY91" i="3"/>
  <c r="AX91" i="3"/>
  <c r="BA91" i="3"/>
  <c r="BC91" i="3"/>
  <c r="AE90" i="3"/>
  <c r="AS92" i="3"/>
  <c r="AF91" i="3" l="1"/>
  <c r="AD91" i="3"/>
  <c r="AW92" i="3"/>
  <c r="BC92" i="3"/>
  <c r="AY92" i="3"/>
  <c r="BA92" i="3"/>
  <c r="AZ92" i="3"/>
  <c r="BB92" i="3"/>
  <c r="BD92" i="3"/>
  <c r="AT92" i="3"/>
  <c r="AA92" i="3" s="1"/>
  <c r="BE92" i="3"/>
  <c r="AX92" i="3"/>
  <c r="AU92" i="3"/>
  <c r="AB92" i="3" s="1"/>
  <c r="AV92" i="3"/>
  <c r="AC92" i="3" s="1"/>
  <c r="AE91" i="3"/>
  <c r="AS93" i="3"/>
  <c r="AD92" i="3" l="1"/>
  <c r="AW93" i="3"/>
  <c r="BB93" i="3"/>
  <c r="BA93" i="3"/>
  <c r="BE93" i="3"/>
  <c r="BC93" i="3"/>
  <c r="AU93" i="3"/>
  <c r="AB93" i="3" s="1"/>
  <c r="AV93" i="3"/>
  <c r="AC93" i="3" s="1"/>
  <c r="AY93" i="3"/>
  <c r="AX93" i="3"/>
  <c r="BD93" i="3"/>
  <c r="AZ93" i="3"/>
  <c r="AT93" i="3"/>
  <c r="AA93" i="3" s="1"/>
  <c r="AF92" i="3"/>
  <c r="AE92" i="3"/>
  <c r="AS94" i="3"/>
  <c r="AE93" i="3" l="1"/>
  <c r="AW94" i="3"/>
  <c r="BE94" i="3"/>
  <c r="BC94" i="3"/>
  <c r="BD94" i="3"/>
  <c r="AZ94" i="3"/>
  <c r="AY94" i="3"/>
  <c r="BB94" i="3"/>
  <c r="AT94" i="3"/>
  <c r="AA94" i="3" s="1"/>
  <c r="AU94" i="3"/>
  <c r="AB94" i="3" s="1"/>
  <c r="AX94" i="3"/>
  <c r="AV94" i="3"/>
  <c r="AC94" i="3" s="1"/>
  <c r="BA94" i="3"/>
  <c r="AF93" i="3"/>
  <c r="AD93" i="3"/>
  <c r="AS95" i="3"/>
  <c r="AD94" i="3" l="1"/>
  <c r="AW95" i="3"/>
  <c r="BC95" i="3"/>
  <c r="AZ95" i="3"/>
  <c r="BE95" i="3"/>
  <c r="BB95" i="3"/>
  <c r="BA95" i="3"/>
  <c r="AY95" i="3"/>
  <c r="AT95" i="3"/>
  <c r="AA95" i="3" s="1"/>
  <c r="BD95" i="3"/>
  <c r="AX95" i="3"/>
  <c r="AU95" i="3"/>
  <c r="AB95" i="3" s="1"/>
  <c r="AV95" i="3"/>
  <c r="AC95" i="3" s="1"/>
  <c r="AE94" i="3"/>
  <c r="AF94" i="3"/>
  <c r="AF95" i="3"/>
  <c r="AS96" i="3"/>
  <c r="AW96" i="3" l="1"/>
  <c r="BE96" i="3"/>
  <c r="BA96" i="3"/>
  <c r="AZ96" i="3"/>
  <c r="BB96" i="3"/>
  <c r="AT96" i="3"/>
  <c r="AA96" i="3" s="1"/>
  <c r="AU96" i="3"/>
  <c r="AB96" i="3" s="1"/>
  <c r="AV96" i="3"/>
  <c r="BC96" i="3"/>
  <c r="BD96" i="3"/>
  <c r="AY96" i="3"/>
  <c r="AX96" i="3"/>
  <c r="AE95" i="3"/>
  <c r="AD95" i="3"/>
  <c r="AS97" i="3"/>
  <c r="AC96" i="3"/>
  <c r="AW97" i="3" l="1"/>
  <c r="BC97" i="3"/>
  <c r="AY97" i="3"/>
  <c r="BB97" i="3"/>
  <c r="BA97" i="3"/>
  <c r="AX97" i="3"/>
  <c r="AT97" i="3"/>
  <c r="AA97" i="3" s="1"/>
  <c r="BE97" i="3"/>
  <c r="BD97" i="3"/>
  <c r="AU97" i="3"/>
  <c r="AV97" i="3"/>
  <c r="AC97" i="3" s="1"/>
  <c r="AZ97" i="3"/>
  <c r="AF96" i="3"/>
  <c r="AE96" i="3"/>
  <c r="AD96" i="3"/>
  <c r="AF97" i="3"/>
  <c r="AS98" i="3"/>
  <c r="AB97" i="3"/>
  <c r="AW98" i="3" l="1"/>
  <c r="BA98" i="3"/>
  <c r="BE98" i="3"/>
  <c r="BC98" i="3"/>
  <c r="BD98" i="3"/>
  <c r="AZ98" i="3"/>
  <c r="BB98" i="3"/>
  <c r="AV98" i="3"/>
  <c r="AC98" i="3" s="1"/>
  <c r="AX98" i="3"/>
  <c r="AY98" i="3"/>
  <c r="AT98" i="3"/>
  <c r="AA98" i="3" s="1"/>
  <c r="AU98" i="3"/>
  <c r="AB98" i="3" s="1"/>
  <c r="AE97" i="3"/>
  <c r="AD97" i="3"/>
  <c r="AS99" i="3"/>
  <c r="AD98" i="3" l="1"/>
  <c r="AW99" i="3"/>
  <c r="BA99" i="3"/>
  <c r="BD99" i="3"/>
  <c r="BE99" i="3"/>
  <c r="AZ99" i="3"/>
  <c r="BB99" i="3"/>
  <c r="AF99" i="3" s="1"/>
  <c r="BC99" i="3"/>
  <c r="AT99" i="3"/>
  <c r="AA99" i="3" s="1"/>
  <c r="AU99" i="3"/>
  <c r="AB99" i="3" s="1"/>
  <c r="AV99" i="3"/>
  <c r="AC99" i="3" s="1"/>
  <c r="AX99" i="3"/>
  <c r="AY99" i="3"/>
  <c r="AF98" i="3"/>
  <c r="AE98" i="3"/>
  <c r="AS100" i="3"/>
  <c r="AD99" i="3" l="1"/>
  <c r="AW100" i="3"/>
  <c r="BD100" i="3"/>
  <c r="BE100" i="3"/>
  <c r="BA100" i="3"/>
  <c r="AZ100" i="3"/>
  <c r="BB100" i="3"/>
  <c r="AY100" i="3"/>
  <c r="BC100" i="3"/>
  <c r="AT100" i="3"/>
  <c r="AA100" i="3" s="1"/>
  <c r="AV100" i="3"/>
  <c r="AC100" i="3" s="1"/>
  <c r="AU100" i="3"/>
  <c r="AB100" i="3" s="1"/>
  <c r="AX100" i="3"/>
  <c r="AE99" i="3"/>
  <c r="AS101" i="3"/>
  <c r="AE100" i="3" l="1"/>
  <c r="AW101" i="3"/>
  <c r="BD101" i="3"/>
  <c r="AZ101" i="3"/>
  <c r="BC101" i="3"/>
  <c r="BB101" i="3"/>
  <c r="BA101" i="3"/>
  <c r="AX101" i="3"/>
  <c r="AU101" i="3"/>
  <c r="AB101" i="3" s="1"/>
  <c r="AV101" i="3"/>
  <c r="AC101" i="3" s="1"/>
  <c r="BE101" i="3"/>
  <c r="AY101" i="3"/>
  <c r="AT101" i="3"/>
  <c r="AA101" i="3" s="1"/>
  <c r="AD100" i="3"/>
  <c r="AF100" i="3"/>
  <c r="AS102" i="3"/>
  <c r="AE101" i="3" l="1"/>
  <c r="AD101" i="3"/>
  <c r="AW102" i="3"/>
  <c r="BA102" i="3"/>
  <c r="BE102" i="3"/>
  <c r="BC102" i="3"/>
  <c r="AY102" i="3"/>
  <c r="BB102" i="3"/>
  <c r="AX102" i="3"/>
  <c r="BD102" i="3"/>
  <c r="AT102" i="3"/>
  <c r="AA102" i="3" s="1"/>
  <c r="AU102" i="3"/>
  <c r="AB102" i="3" s="1"/>
  <c r="AZ102" i="3"/>
  <c r="AV102" i="3"/>
  <c r="AC102" i="3" s="1"/>
  <c r="AF101" i="3"/>
  <c r="AS103" i="3"/>
  <c r="AD102" i="3" l="1"/>
  <c r="AW103" i="3"/>
  <c r="BC103" i="3"/>
  <c r="BE103" i="3"/>
  <c r="AY103" i="3"/>
  <c r="AZ103" i="3"/>
  <c r="BA103" i="3"/>
  <c r="BB103" i="3"/>
  <c r="AX103" i="3"/>
  <c r="AT103" i="3"/>
  <c r="AA103" i="3" s="1"/>
  <c r="AU103" i="3"/>
  <c r="AB103" i="3" s="1"/>
  <c r="BD103" i="3"/>
  <c r="AV103" i="3"/>
  <c r="AC103" i="3" s="1"/>
  <c r="AE102" i="3"/>
  <c r="AF102" i="3"/>
  <c r="AS104" i="3"/>
  <c r="AD103" i="3" l="1"/>
  <c r="AW104" i="3"/>
  <c r="AY104" i="3"/>
  <c r="BE104" i="3"/>
  <c r="BC104" i="3"/>
  <c r="BA104" i="3"/>
  <c r="AZ104" i="3"/>
  <c r="AT104" i="3"/>
  <c r="AA104" i="3" s="1"/>
  <c r="AU104" i="3"/>
  <c r="AB104" i="3" s="1"/>
  <c r="AV104" i="3"/>
  <c r="AC104" i="3" s="1"/>
  <c r="BB104" i="3"/>
  <c r="AX104" i="3"/>
  <c r="BD104" i="3"/>
  <c r="AF103" i="3"/>
  <c r="AE103" i="3"/>
  <c r="AF104" i="3"/>
  <c r="AS105" i="3"/>
  <c r="AW105" i="3" l="1"/>
  <c r="BE105" i="3"/>
  <c r="BA105" i="3"/>
  <c r="BC105" i="3"/>
  <c r="BB105" i="3"/>
  <c r="AX105" i="3"/>
  <c r="AY105" i="3"/>
  <c r="AT105" i="3"/>
  <c r="AA105" i="3" s="1"/>
  <c r="AU105" i="3"/>
  <c r="AB105" i="3" s="1"/>
  <c r="BD105" i="3"/>
  <c r="AV105" i="3"/>
  <c r="AC105" i="3" s="1"/>
  <c r="AZ105" i="3"/>
  <c r="AE104" i="3"/>
  <c r="AD104" i="3"/>
  <c r="AS106" i="3"/>
  <c r="AF105" i="3" l="1"/>
  <c r="AW106" i="3"/>
  <c r="BB106" i="3"/>
  <c r="BE106" i="3"/>
  <c r="BA106" i="3"/>
  <c r="AV106" i="3"/>
  <c r="AC106" i="3" s="1"/>
  <c r="AX106" i="3"/>
  <c r="BD106" i="3"/>
  <c r="BC106" i="3"/>
  <c r="AZ106" i="3"/>
  <c r="AY106" i="3"/>
  <c r="AT106" i="3"/>
  <c r="AA106" i="3" s="1"/>
  <c r="AU106" i="3"/>
  <c r="AB106" i="3" s="1"/>
  <c r="AE105" i="3"/>
  <c r="AD105" i="3"/>
  <c r="AS107" i="3"/>
  <c r="AW107" i="3" l="1"/>
  <c r="BE107" i="3"/>
  <c r="BA107" i="3"/>
  <c r="BD107" i="3"/>
  <c r="BC107" i="3"/>
  <c r="AT107" i="3"/>
  <c r="AA107" i="3" s="1"/>
  <c r="M7" i="3" s="1"/>
  <c r="AX107" i="3"/>
  <c r="AU107" i="3"/>
  <c r="AB107" i="3" s="1"/>
  <c r="N7" i="3" s="1"/>
  <c r="BB107" i="3"/>
  <c r="AZ107" i="3"/>
  <c r="AV107" i="3"/>
  <c r="AC107" i="3" s="1"/>
  <c r="O7" i="3" s="1"/>
  <c r="AY107" i="3"/>
  <c r="AF106" i="3"/>
  <c r="AE106" i="3"/>
  <c r="AD106" i="3"/>
  <c r="AD107" i="3" l="1"/>
  <c r="M9" i="3" s="1"/>
  <c r="AE107" i="3"/>
  <c r="N9" i="3" s="1"/>
  <c r="AF107" i="3"/>
  <c r="O9" i="3" s="1"/>
  <c r="AJ7" i="3" l="1"/>
  <c r="T7" i="3" s="1"/>
  <c r="AK7" i="3" l="1"/>
  <c r="U7" i="3" s="1"/>
  <c r="R8" i="3" l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AH8" i="3"/>
  <c r="AO9" i="3" l="1"/>
  <c r="AI8" i="3"/>
  <c r="S8" i="3" s="1"/>
  <c r="AQ9" i="3"/>
  <c r="AP9" i="3"/>
  <c r="AN8" i="3"/>
  <c r="X8" i="3" s="1"/>
  <c r="AM8" i="3"/>
  <c r="W8" i="3" s="1"/>
  <c r="AL8" i="3"/>
  <c r="V8" i="3" s="1"/>
  <c r="AJ8" i="3"/>
  <c r="T8" i="3" s="1"/>
  <c r="AK8" i="3"/>
  <c r="U8" i="3" s="1"/>
  <c r="AH9" i="3"/>
  <c r="AO10" i="3" l="1"/>
  <c r="AI9" i="3"/>
  <c r="S9" i="3" s="1"/>
  <c r="AQ10" i="3"/>
  <c r="AP10" i="3"/>
  <c r="AL9" i="3"/>
  <c r="V9" i="3" s="1"/>
  <c r="AM9" i="3"/>
  <c r="W9" i="3" s="1"/>
  <c r="AN9" i="3"/>
  <c r="X9" i="3" s="1"/>
  <c r="AJ9" i="3"/>
  <c r="T9" i="3" s="1"/>
  <c r="AK9" i="3"/>
  <c r="U9" i="3" s="1"/>
  <c r="AH10" i="3"/>
  <c r="AO11" i="3" l="1"/>
  <c r="AJ10" i="3"/>
  <c r="T10" i="3" s="1"/>
  <c r="AK10" i="3"/>
  <c r="U10" i="3" s="1"/>
  <c r="AP11" i="3"/>
  <c r="AQ11" i="3"/>
  <c r="AM10" i="3"/>
  <c r="W10" i="3" s="1"/>
  <c r="AN10" i="3"/>
  <c r="X10" i="3" s="1"/>
  <c r="AL10" i="3"/>
  <c r="V10" i="3" s="1"/>
  <c r="AI10" i="3"/>
  <c r="S10" i="3" s="1"/>
  <c r="AH11" i="3"/>
  <c r="AO12" i="3" l="1"/>
  <c r="AQ12" i="3"/>
  <c r="AP12" i="3"/>
  <c r="AM11" i="3"/>
  <c r="W11" i="3" s="1"/>
  <c r="AN11" i="3"/>
  <c r="X11" i="3" s="1"/>
  <c r="AL11" i="3"/>
  <c r="V11" i="3" s="1"/>
  <c r="AJ11" i="3"/>
  <c r="T11" i="3" s="1"/>
  <c r="AK11" i="3"/>
  <c r="U11" i="3" s="1"/>
  <c r="AI11" i="3"/>
  <c r="S11" i="3" s="1"/>
  <c r="AH12" i="3"/>
  <c r="AO13" i="3" l="1"/>
  <c r="AQ13" i="3"/>
  <c r="AP13" i="3"/>
  <c r="AN12" i="3"/>
  <c r="X12" i="3" s="1"/>
  <c r="AM12" i="3"/>
  <c r="W12" i="3" s="1"/>
  <c r="AL12" i="3"/>
  <c r="V12" i="3" s="1"/>
  <c r="AJ12" i="3"/>
  <c r="T12" i="3" s="1"/>
  <c r="AK12" i="3"/>
  <c r="U12" i="3" s="1"/>
  <c r="AI12" i="3"/>
  <c r="S12" i="3" s="1"/>
  <c r="AH13" i="3"/>
  <c r="AO14" i="3" l="1"/>
  <c r="AQ14" i="3"/>
  <c r="AP14" i="3"/>
  <c r="AM13" i="3"/>
  <c r="W13" i="3" s="1"/>
  <c r="AN13" i="3"/>
  <c r="X13" i="3" s="1"/>
  <c r="AL13" i="3"/>
  <c r="V13" i="3" s="1"/>
  <c r="AJ13" i="3"/>
  <c r="T13" i="3" s="1"/>
  <c r="AK13" i="3"/>
  <c r="U13" i="3" s="1"/>
  <c r="AI13" i="3"/>
  <c r="S13" i="3" s="1"/>
  <c r="AH14" i="3"/>
  <c r="AO15" i="3" l="1"/>
  <c r="AQ15" i="3"/>
  <c r="AP15" i="3"/>
  <c r="AM14" i="3"/>
  <c r="W14" i="3" s="1"/>
  <c r="AN14" i="3"/>
  <c r="X14" i="3" s="1"/>
  <c r="AL14" i="3"/>
  <c r="V14" i="3" s="1"/>
  <c r="AJ14" i="3"/>
  <c r="T14" i="3" s="1"/>
  <c r="AK14" i="3"/>
  <c r="U14" i="3" s="1"/>
  <c r="AI14" i="3"/>
  <c r="S14" i="3" s="1"/>
  <c r="AH15" i="3"/>
  <c r="AO16" i="3" l="1"/>
  <c r="AQ16" i="3"/>
  <c r="AP16" i="3"/>
  <c r="AI15" i="3"/>
  <c r="S15" i="3" s="1"/>
  <c r="AM15" i="3"/>
  <c r="W15" i="3" s="1"/>
  <c r="AN15" i="3"/>
  <c r="X15" i="3" s="1"/>
  <c r="AL15" i="3"/>
  <c r="V15" i="3" s="1"/>
  <c r="AJ15" i="3"/>
  <c r="T15" i="3" s="1"/>
  <c r="AK15" i="3"/>
  <c r="U15" i="3" s="1"/>
  <c r="AH16" i="3"/>
  <c r="AO17" i="3" l="1"/>
  <c r="AQ17" i="3"/>
  <c r="AP17" i="3"/>
  <c r="AN16" i="3"/>
  <c r="X16" i="3" s="1"/>
  <c r="AM16" i="3"/>
  <c r="W16" i="3" s="1"/>
  <c r="AL16" i="3"/>
  <c r="V16" i="3" s="1"/>
  <c r="AJ16" i="3"/>
  <c r="T16" i="3" s="1"/>
  <c r="AK16" i="3"/>
  <c r="U16" i="3" s="1"/>
  <c r="AI16" i="3"/>
  <c r="S16" i="3" s="1"/>
  <c r="AH17" i="3"/>
  <c r="AO18" i="3" l="1"/>
  <c r="AQ18" i="3"/>
  <c r="AP18" i="3"/>
  <c r="AM17" i="3"/>
  <c r="W17" i="3" s="1"/>
  <c r="AN17" i="3"/>
  <c r="X17" i="3" s="1"/>
  <c r="AL17" i="3"/>
  <c r="V17" i="3" s="1"/>
  <c r="AJ17" i="3"/>
  <c r="T17" i="3" s="1"/>
  <c r="AK17" i="3"/>
  <c r="U17" i="3" s="1"/>
  <c r="AI17" i="3"/>
  <c r="S17" i="3" s="1"/>
  <c r="AH18" i="3"/>
  <c r="AO19" i="3" l="1"/>
  <c r="AP19" i="3"/>
  <c r="AQ19" i="3"/>
  <c r="AM18" i="3"/>
  <c r="W18" i="3" s="1"/>
  <c r="AN18" i="3"/>
  <c r="X18" i="3" s="1"/>
  <c r="AL18" i="3"/>
  <c r="V18" i="3" s="1"/>
  <c r="AJ18" i="3"/>
  <c r="T18" i="3" s="1"/>
  <c r="AK18" i="3"/>
  <c r="U18" i="3" s="1"/>
  <c r="AI18" i="3"/>
  <c r="S18" i="3" s="1"/>
  <c r="AH19" i="3"/>
  <c r="AO20" i="3" l="1"/>
  <c r="AQ20" i="3"/>
  <c r="AP20" i="3"/>
  <c r="AM19" i="3"/>
  <c r="W19" i="3" s="1"/>
  <c r="AN19" i="3"/>
  <c r="X19" i="3" s="1"/>
  <c r="AL19" i="3"/>
  <c r="V19" i="3" s="1"/>
  <c r="AJ19" i="3"/>
  <c r="T19" i="3" s="1"/>
  <c r="AK19" i="3"/>
  <c r="U19" i="3" s="1"/>
  <c r="AI19" i="3"/>
  <c r="S19" i="3" s="1"/>
  <c r="AH20" i="3"/>
  <c r="AO21" i="3" l="1"/>
  <c r="AQ21" i="3"/>
  <c r="AP21" i="3"/>
  <c r="AN20" i="3"/>
  <c r="X20" i="3" s="1"/>
  <c r="AM20" i="3"/>
  <c r="W20" i="3" s="1"/>
  <c r="AL20" i="3"/>
  <c r="V20" i="3" s="1"/>
  <c r="AJ20" i="3"/>
  <c r="T20" i="3" s="1"/>
  <c r="AK20" i="3"/>
  <c r="U20" i="3" s="1"/>
  <c r="AI20" i="3"/>
  <c r="S20" i="3" s="1"/>
  <c r="AH21" i="3"/>
  <c r="AO22" i="3" l="1"/>
  <c r="AQ22" i="3"/>
  <c r="AP22" i="3"/>
  <c r="AM21" i="3"/>
  <c r="W21" i="3" s="1"/>
  <c r="AN21" i="3"/>
  <c r="X21" i="3" s="1"/>
  <c r="AL21" i="3"/>
  <c r="V21" i="3" s="1"/>
  <c r="AJ21" i="3"/>
  <c r="T21" i="3" s="1"/>
  <c r="AK21" i="3"/>
  <c r="U21" i="3" s="1"/>
  <c r="AI21" i="3"/>
  <c r="S21" i="3" s="1"/>
  <c r="AH22" i="3"/>
  <c r="AO23" i="3" l="1"/>
  <c r="AQ23" i="3"/>
  <c r="AP23" i="3"/>
  <c r="AM22" i="3"/>
  <c r="W22" i="3" s="1"/>
  <c r="AN22" i="3"/>
  <c r="X22" i="3" s="1"/>
  <c r="AL22" i="3"/>
  <c r="V22" i="3" s="1"/>
  <c r="AJ22" i="3"/>
  <c r="T22" i="3" s="1"/>
  <c r="AK22" i="3"/>
  <c r="U22" i="3" s="1"/>
  <c r="AI22" i="3"/>
  <c r="S22" i="3" s="1"/>
  <c r="AH23" i="3"/>
  <c r="AO24" i="3" l="1"/>
  <c r="AQ24" i="3"/>
  <c r="AP24" i="3"/>
  <c r="AM23" i="3"/>
  <c r="W23" i="3" s="1"/>
  <c r="AN23" i="3"/>
  <c r="X23" i="3" s="1"/>
  <c r="AL23" i="3"/>
  <c r="V23" i="3" s="1"/>
  <c r="AJ23" i="3"/>
  <c r="T23" i="3" s="1"/>
  <c r="AK23" i="3"/>
  <c r="U23" i="3" s="1"/>
  <c r="AI23" i="3"/>
  <c r="S23" i="3" s="1"/>
  <c r="AH24" i="3"/>
  <c r="AO25" i="3" l="1"/>
  <c r="AQ25" i="3"/>
  <c r="AP25" i="3"/>
  <c r="AN24" i="3"/>
  <c r="X24" i="3" s="1"/>
  <c r="AM24" i="3"/>
  <c r="W24" i="3" s="1"/>
  <c r="AL24" i="3"/>
  <c r="V24" i="3" s="1"/>
  <c r="AJ24" i="3"/>
  <c r="T24" i="3" s="1"/>
  <c r="AK24" i="3"/>
  <c r="U24" i="3" s="1"/>
  <c r="AI24" i="3"/>
  <c r="S24" i="3" s="1"/>
  <c r="AH25" i="3"/>
  <c r="AO26" i="3" l="1"/>
  <c r="AP26" i="3"/>
  <c r="AQ26" i="3"/>
  <c r="AM25" i="3"/>
  <c r="W25" i="3" s="1"/>
  <c r="AN25" i="3"/>
  <c r="X25" i="3" s="1"/>
  <c r="AL25" i="3"/>
  <c r="V25" i="3" s="1"/>
  <c r="AJ25" i="3"/>
  <c r="T25" i="3" s="1"/>
  <c r="AK25" i="3"/>
  <c r="U25" i="3" s="1"/>
  <c r="AI25" i="3"/>
  <c r="S25" i="3" s="1"/>
  <c r="AH26" i="3"/>
  <c r="AO27" i="3" l="1"/>
  <c r="AQ27" i="3"/>
  <c r="AP27" i="3"/>
  <c r="AM26" i="3"/>
  <c r="W26" i="3" s="1"/>
  <c r="AN26" i="3"/>
  <c r="X26" i="3" s="1"/>
  <c r="AL26" i="3"/>
  <c r="V26" i="3" s="1"/>
  <c r="AJ26" i="3"/>
  <c r="T26" i="3" s="1"/>
  <c r="AK26" i="3"/>
  <c r="U26" i="3" s="1"/>
  <c r="AI26" i="3"/>
  <c r="S26" i="3" s="1"/>
  <c r="AH27" i="3"/>
  <c r="AO28" i="3" l="1"/>
  <c r="AQ28" i="3"/>
  <c r="AP28" i="3"/>
  <c r="AM27" i="3"/>
  <c r="W27" i="3" s="1"/>
  <c r="AN27" i="3"/>
  <c r="X27" i="3" s="1"/>
  <c r="AL27" i="3"/>
  <c r="V27" i="3" s="1"/>
  <c r="AJ27" i="3"/>
  <c r="T27" i="3" s="1"/>
  <c r="AK27" i="3"/>
  <c r="U27" i="3" s="1"/>
  <c r="AI27" i="3"/>
  <c r="S27" i="3" s="1"/>
  <c r="AH28" i="3"/>
  <c r="AO29" i="3" l="1"/>
  <c r="AQ29" i="3"/>
  <c r="AP29" i="3"/>
  <c r="AN28" i="3"/>
  <c r="X28" i="3" s="1"/>
  <c r="AM28" i="3"/>
  <c r="W28" i="3" s="1"/>
  <c r="AL28" i="3"/>
  <c r="V28" i="3" s="1"/>
  <c r="AJ28" i="3"/>
  <c r="T28" i="3" s="1"/>
  <c r="AK28" i="3"/>
  <c r="U28" i="3" s="1"/>
  <c r="AI28" i="3"/>
  <c r="S28" i="3" s="1"/>
  <c r="AH29" i="3"/>
  <c r="AO30" i="3" l="1"/>
  <c r="AQ30" i="3"/>
  <c r="AP30" i="3"/>
  <c r="AM29" i="3"/>
  <c r="W29" i="3" s="1"/>
  <c r="AN29" i="3"/>
  <c r="X29" i="3" s="1"/>
  <c r="AL29" i="3"/>
  <c r="V29" i="3" s="1"/>
  <c r="AJ29" i="3"/>
  <c r="T29" i="3" s="1"/>
  <c r="AK29" i="3"/>
  <c r="U29" i="3" s="1"/>
  <c r="AI29" i="3"/>
  <c r="S29" i="3" s="1"/>
  <c r="AH30" i="3"/>
  <c r="AO31" i="3" l="1"/>
  <c r="AQ31" i="3"/>
  <c r="AP31" i="3"/>
  <c r="AM30" i="3"/>
  <c r="W30" i="3" s="1"/>
  <c r="AN30" i="3"/>
  <c r="X30" i="3" s="1"/>
  <c r="AL30" i="3"/>
  <c r="V30" i="3" s="1"/>
  <c r="AJ30" i="3"/>
  <c r="T30" i="3" s="1"/>
  <c r="AK30" i="3"/>
  <c r="U30" i="3" s="1"/>
  <c r="AI30" i="3"/>
  <c r="S30" i="3" s="1"/>
  <c r="AH31" i="3"/>
  <c r="AO32" i="3" l="1"/>
  <c r="AQ32" i="3"/>
  <c r="AP32" i="3"/>
  <c r="AM31" i="3"/>
  <c r="W31" i="3" s="1"/>
  <c r="AN31" i="3"/>
  <c r="X31" i="3" s="1"/>
  <c r="AL31" i="3"/>
  <c r="V31" i="3" s="1"/>
  <c r="AJ31" i="3"/>
  <c r="T31" i="3" s="1"/>
  <c r="AK31" i="3"/>
  <c r="U31" i="3" s="1"/>
  <c r="AI31" i="3"/>
  <c r="S31" i="3" s="1"/>
  <c r="AH32" i="3"/>
  <c r="AO33" i="3" l="1"/>
  <c r="AQ33" i="3"/>
  <c r="AP33" i="3"/>
  <c r="AN32" i="3"/>
  <c r="X32" i="3" s="1"/>
  <c r="AM32" i="3"/>
  <c r="W32" i="3" s="1"/>
  <c r="AL32" i="3"/>
  <c r="V32" i="3" s="1"/>
  <c r="AJ32" i="3"/>
  <c r="T32" i="3" s="1"/>
  <c r="AK32" i="3"/>
  <c r="U32" i="3" s="1"/>
  <c r="AI32" i="3"/>
  <c r="S32" i="3" s="1"/>
  <c r="AH33" i="3"/>
  <c r="AO34" i="3" l="1"/>
  <c r="AQ34" i="3"/>
  <c r="AP34" i="3"/>
  <c r="AM33" i="3"/>
  <c r="W33" i="3" s="1"/>
  <c r="AN33" i="3"/>
  <c r="X33" i="3" s="1"/>
  <c r="AL33" i="3"/>
  <c r="V33" i="3" s="1"/>
  <c r="AJ33" i="3"/>
  <c r="T33" i="3" s="1"/>
  <c r="AK33" i="3"/>
  <c r="U33" i="3" s="1"/>
  <c r="AI33" i="3"/>
  <c r="S33" i="3" s="1"/>
  <c r="AH34" i="3"/>
  <c r="AO35" i="3" l="1"/>
  <c r="AQ35" i="3"/>
  <c r="AP35" i="3"/>
  <c r="AM34" i="3"/>
  <c r="W34" i="3" s="1"/>
  <c r="AN34" i="3"/>
  <c r="X34" i="3" s="1"/>
  <c r="AL34" i="3"/>
  <c r="V34" i="3" s="1"/>
  <c r="AJ34" i="3"/>
  <c r="T34" i="3" s="1"/>
  <c r="AK34" i="3"/>
  <c r="U34" i="3" s="1"/>
  <c r="AI34" i="3"/>
  <c r="S34" i="3" s="1"/>
  <c r="AH35" i="3"/>
  <c r="AO36" i="3" l="1"/>
  <c r="AQ36" i="3"/>
  <c r="AP36" i="3"/>
  <c r="AM35" i="3"/>
  <c r="W35" i="3" s="1"/>
  <c r="AN35" i="3"/>
  <c r="X35" i="3" s="1"/>
  <c r="AL35" i="3"/>
  <c r="V35" i="3" s="1"/>
  <c r="AJ35" i="3"/>
  <c r="T35" i="3" s="1"/>
  <c r="AK35" i="3"/>
  <c r="U35" i="3" s="1"/>
  <c r="AI35" i="3"/>
  <c r="S35" i="3" s="1"/>
  <c r="AH36" i="3"/>
  <c r="AO37" i="3" l="1"/>
  <c r="AP37" i="3"/>
  <c r="AQ37" i="3"/>
  <c r="AN36" i="3"/>
  <c r="X36" i="3" s="1"/>
  <c r="AM36" i="3"/>
  <c r="W36" i="3" s="1"/>
  <c r="AL36" i="3"/>
  <c r="V36" i="3" s="1"/>
  <c r="AJ36" i="3"/>
  <c r="T36" i="3" s="1"/>
  <c r="AK36" i="3"/>
  <c r="U36" i="3" s="1"/>
  <c r="AI36" i="3"/>
  <c r="S36" i="3" s="1"/>
  <c r="AH37" i="3"/>
  <c r="AO38" i="3" l="1"/>
  <c r="AQ38" i="3"/>
  <c r="AP38" i="3"/>
  <c r="AM37" i="3"/>
  <c r="W37" i="3" s="1"/>
  <c r="AN37" i="3"/>
  <c r="X37" i="3" s="1"/>
  <c r="AL37" i="3"/>
  <c r="V37" i="3" s="1"/>
  <c r="AJ37" i="3"/>
  <c r="T37" i="3" s="1"/>
  <c r="AK37" i="3"/>
  <c r="U37" i="3" s="1"/>
  <c r="AI37" i="3"/>
  <c r="S37" i="3" s="1"/>
  <c r="AH38" i="3"/>
  <c r="AO39" i="3" l="1"/>
  <c r="AQ39" i="3"/>
  <c r="AP39" i="3"/>
  <c r="AM38" i="3"/>
  <c r="W38" i="3" s="1"/>
  <c r="AN38" i="3"/>
  <c r="X38" i="3" s="1"/>
  <c r="AL38" i="3"/>
  <c r="V38" i="3" s="1"/>
  <c r="AJ38" i="3"/>
  <c r="T38" i="3" s="1"/>
  <c r="AK38" i="3"/>
  <c r="U38" i="3" s="1"/>
  <c r="AI38" i="3"/>
  <c r="S38" i="3" s="1"/>
  <c r="AH39" i="3"/>
  <c r="AO40" i="3" l="1"/>
  <c r="AQ40" i="3"/>
  <c r="AP40" i="3"/>
  <c r="AN39" i="3"/>
  <c r="X39" i="3" s="1"/>
  <c r="AM39" i="3"/>
  <c r="W39" i="3" s="1"/>
  <c r="AL39" i="3"/>
  <c r="V39" i="3" s="1"/>
  <c r="AJ39" i="3"/>
  <c r="T39" i="3" s="1"/>
  <c r="AK39" i="3"/>
  <c r="U39" i="3" s="1"/>
  <c r="AI39" i="3"/>
  <c r="S39" i="3" s="1"/>
  <c r="AH40" i="3"/>
  <c r="AO41" i="3" l="1"/>
  <c r="AQ41" i="3"/>
  <c r="AP41" i="3"/>
  <c r="AN40" i="3"/>
  <c r="X40" i="3" s="1"/>
  <c r="AM40" i="3"/>
  <c r="W40" i="3" s="1"/>
  <c r="AL40" i="3"/>
  <c r="V40" i="3" s="1"/>
  <c r="AJ40" i="3"/>
  <c r="T40" i="3" s="1"/>
  <c r="AK40" i="3"/>
  <c r="U40" i="3" s="1"/>
  <c r="AI40" i="3"/>
  <c r="S40" i="3" s="1"/>
  <c r="AH41" i="3"/>
  <c r="AO42" i="3" l="1"/>
  <c r="AQ42" i="3"/>
  <c r="AP42" i="3"/>
  <c r="AM41" i="3"/>
  <c r="W41" i="3" s="1"/>
  <c r="AN41" i="3"/>
  <c r="X41" i="3" s="1"/>
  <c r="AL41" i="3"/>
  <c r="V41" i="3" s="1"/>
  <c r="AJ41" i="3"/>
  <c r="T41" i="3" s="1"/>
  <c r="AK41" i="3"/>
  <c r="U41" i="3" s="1"/>
  <c r="AI41" i="3"/>
  <c r="S41" i="3" s="1"/>
  <c r="AH42" i="3"/>
  <c r="AO43" i="3" l="1"/>
  <c r="AQ43" i="3"/>
  <c r="AP43" i="3"/>
  <c r="AM42" i="3"/>
  <c r="W42" i="3" s="1"/>
  <c r="AN42" i="3"/>
  <c r="X42" i="3" s="1"/>
  <c r="AL42" i="3"/>
  <c r="V42" i="3" s="1"/>
  <c r="AJ42" i="3"/>
  <c r="T42" i="3" s="1"/>
  <c r="AK42" i="3"/>
  <c r="U42" i="3" s="1"/>
  <c r="AI42" i="3"/>
  <c r="S42" i="3" s="1"/>
  <c r="AH43" i="3"/>
  <c r="AO44" i="3" l="1"/>
  <c r="AQ44" i="3"/>
  <c r="AP44" i="3"/>
  <c r="AN43" i="3"/>
  <c r="X43" i="3" s="1"/>
  <c r="AM43" i="3"/>
  <c r="W43" i="3" s="1"/>
  <c r="AL43" i="3"/>
  <c r="V43" i="3" s="1"/>
  <c r="AJ43" i="3"/>
  <c r="T43" i="3" s="1"/>
  <c r="AK43" i="3"/>
  <c r="U43" i="3" s="1"/>
  <c r="AI43" i="3"/>
  <c r="S43" i="3" s="1"/>
  <c r="AH44" i="3"/>
  <c r="M6" i="1"/>
  <c r="AO45" i="3" l="1"/>
  <c r="AQ45" i="3"/>
  <c r="AP45" i="3"/>
  <c r="M7" i="1"/>
  <c r="M8" i="1" s="1"/>
  <c r="M9" i="1" s="1"/>
  <c r="M10" i="1" s="1"/>
  <c r="M11" i="1" s="1"/>
  <c r="M12" i="1" s="1"/>
  <c r="M13" i="1" s="1"/>
  <c r="M14" i="1" s="1"/>
  <c r="M15" i="1" s="1"/>
  <c r="O15" i="1" s="1"/>
  <c r="O6" i="1"/>
  <c r="AN44" i="3"/>
  <c r="X44" i="3" s="1"/>
  <c r="AM44" i="3"/>
  <c r="W44" i="3" s="1"/>
  <c r="AL44" i="3"/>
  <c r="V44" i="3" s="1"/>
  <c r="AJ44" i="3"/>
  <c r="T44" i="3" s="1"/>
  <c r="AK44" i="3"/>
  <c r="U44" i="3" s="1"/>
  <c r="AI44" i="3"/>
  <c r="S44" i="3" s="1"/>
  <c r="AH45" i="3"/>
  <c r="O13" i="1" l="1"/>
  <c r="O12" i="1"/>
  <c r="O11" i="1"/>
  <c r="O10" i="1"/>
  <c r="O8" i="1"/>
  <c r="O9" i="1"/>
  <c r="O7" i="1"/>
  <c r="O14" i="1"/>
  <c r="AO46" i="3"/>
  <c r="AQ46" i="3"/>
  <c r="AP46" i="3"/>
  <c r="AM45" i="3"/>
  <c r="W45" i="3" s="1"/>
  <c r="AN45" i="3"/>
  <c r="X45" i="3" s="1"/>
  <c r="AL45" i="3"/>
  <c r="V45" i="3" s="1"/>
  <c r="AI45" i="3"/>
  <c r="S45" i="3" s="1"/>
  <c r="AJ45" i="3"/>
  <c r="T45" i="3" s="1"/>
  <c r="AK45" i="3"/>
  <c r="U45" i="3" s="1"/>
  <c r="AH46" i="3"/>
  <c r="Q8" i="1" l="1"/>
  <c r="R5" i="1" s="1"/>
  <c r="Q5" i="1"/>
  <c r="AO47" i="3"/>
  <c r="AQ47" i="3"/>
  <c r="AP47" i="3"/>
  <c r="AM46" i="3"/>
  <c r="W46" i="3" s="1"/>
  <c r="AN46" i="3"/>
  <c r="X46" i="3" s="1"/>
  <c r="AL46" i="3"/>
  <c r="V46" i="3" s="1"/>
  <c r="AI46" i="3"/>
  <c r="S46" i="3" s="1"/>
  <c r="AJ46" i="3"/>
  <c r="T46" i="3" s="1"/>
  <c r="AK46" i="3"/>
  <c r="U46" i="3" s="1"/>
  <c r="AH47" i="3"/>
  <c r="AO48" i="3" l="1"/>
  <c r="AP48" i="3"/>
  <c r="AQ48" i="3"/>
  <c r="AN47" i="3"/>
  <c r="X47" i="3" s="1"/>
  <c r="AM47" i="3"/>
  <c r="W47" i="3" s="1"/>
  <c r="AL47" i="3"/>
  <c r="V47" i="3" s="1"/>
  <c r="AI47" i="3"/>
  <c r="S47" i="3" s="1"/>
  <c r="AJ47" i="3"/>
  <c r="T47" i="3" s="1"/>
  <c r="AK47" i="3"/>
  <c r="U47" i="3" s="1"/>
  <c r="AH48" i="3"/>
  <c r="AO49" i="3" l="1"/>
  <c r="AQ49" i="3"/>
  <c r="AP49" i="3"/>
  <c r="AN48" i="3"/>
  <c r="X48" i="3" s="1"/>
  <c r="AM48" i="3"/>
  <c r="W48" i="3" s="1"/>
  <c r="AL48" i="3"/>
  <c r="V48" i="3" s="1"/>
  <c r="AI48" i="3"/>
  <c r="S48" i="3" s="1"/>
  <c r="AJ48" i="3"/>
  <c r="T48" i="3" s="1"/>
  <c r="AK48" i="3"/>
  <c r="U48" i="3" s="1"/>
  <c r="AH49" i="3"/>
  <c r="AO50" i="3" l="1"/>
  <c r="AQ50" i="3"/>
  <c r="AP50" i="3"/>
  <c r="AM49" i="3"/>
  <c r="W49" i="3" s="1"/>
  <c r="AN49" i="3"/>
  <c r="X49" i="3" s="1"/>
  <c r="AL49" i="3"/>
  <c r="V49" i="3" s="1"/>
  <c r="AI49" i="3"/>
  <c r="S49" i="3" s="1"/>
  <c r="AJ49" i="3"/>
  <c r="T49" i="3" s="1"/>
  <c r="AK49" i="3"/>
  <c r="U49" i="3" s="1"/>
  <c r="AH50" i="3"/>
  <c r="AO51" i="3" l="1"/>
  <c r="AP51" i="3"/>
  <c r="AQ51" i="3"/>
  <c r="AM50" i="3"/>
  <c r="W50" i="3" s="1"/>
  <c r="AN50" i="3"/>
  <c r="X50" i="3" s="1"/>
  <c r="AL50" i="3"/>
  <c r="V50" i="3" s="1"/>
  <c r="AI50" i="3"/>
  <c r="S50" i="3" s="1"/>
  <c r="AJ50" i="3"/>
  <c r="T50" i="3" s="1"/>
  <c r="AK50" i="3"/>
  <c r="U50" i="3" s="1"/>
  <c r="AH51" i="3"/>
  <c r="AO52" i="3" l="1"/>
  <c r="AQ52" i="3"/>
  <c r="AP52" i="3"/>
  <c r="AN51" i="3"/>
  <c r="X51" i="3" s="1"/>
  <c r="AM51" i="3"/>
  <c r="W51" i="3" s="1"/>
  <c r="AL51" i="3"/>
  <c r="V51" i="3" s="1"/>
  <c r="AI51" i="3"/>
  <c r="S51" i="3" s="1"/>
  <c r="AJ51" i="3"/>
  <c r="T51" i="3" s="1"/>
  <c r="AK51" i="3"/>
  <c r="U51" i="3" s="1"/>
  <c r="AH52" i="3"/>
  <c r="AO53" i="3" l="1"/>
  <c r="AQ53" i="3"/>
  <c r="AP53" i="3"/>
  <c r="AN52" i="3"/>
  <c r="X52" i="3" s="1"/>
  <c r="AM52" i="3"/>
  <c r="W52" i="3" s="1"/>
  <c r="AL52" i="3"/>
  <c r="V52" i="3" s="1"/>
  <c r="AI52" i="3"/>
  <c r="S52" i="3" s="1"/>
  <c r="AJ52" i="3"/>
  <c r="T52" i="3" s="1"/>
  <c r="AK52" i="3"/>
  <c r="U52" i="3" s="1"/>
  <c r="AH53" i="3"/>
  <c r="AO54" i="3" l="1"/>
  <c r="AQ54" i="3"/>
  <c r="AP54" i="3"/>
  <c r="AM53" i="3"/>
  <c r="W53" i="3" s="1"/>
  <c r="AN53" i="3"/>
  <c r="X53" i="3" s="1"/>
  <c r="AL53" i="3"/>
  <c r="V53" i="3" s="1"/>
  <c r="AI53" i="3"/>
  <c r="S53" i="3" s="1"/>
  <c r="AJ53" i="3"/>
  <c r="T53" i="3" s="1"/>
  <c r="AK53" i="3"/>
  <c r="U53" i="3" s="1"/>
  <c r="AH54" i="3"/>
  <c r="AO55" i="3" l="1"/>
  <c r="AQ55" i="3"/>
  <c r="AP55" i="3"/>
  <c r="AM54" i="3"/>
  <c r="W54" i="3" s="1"/>
  <c r="AN54" i="3"/>
  <c r="X54" i="3" s="1"/>
  <c r="AL54" i="3"/>
  <c r="V54" i="3" s="1"/>
  <c r="AI54" i="3"/>
  <c r="S54" i="3" s="1"/>
  <c r="AJ54" i="3"/>
  <c r="T54" i="3" s="1"/>
  <c r="AK54" i="3"/>
  <c r="U54" i="3" s="1"/>
  <c r="AH55" i="3"/>
  <c r="AO56" i="3" l="1"/>
  <c r="AQ56" i="3"/>
  <c r="AP56" i="3"/>
  <c r="AN55" i="3"/>
  <c r="X55" i="3" s="1"/>
  <c r="AM55" i="3"/>
  <c r="W55" i="3" s="1"/>
  <c r="AL55" i="3"/>
  <c r="V55" i="3" s="1"/>
  <c r="AI55" i="3"/>
  <c r="S55" i="3" s="1"/>
  <c r="AJ55" i="3"/>
  <c r="T55" i="3" s="1"/>
  <c r="AK55" i="3"/>
  <c r="U55" i="3" s="1"/>
  <c r="AH56" i="3"/>
  <c r="AO57" i="3" l="1"/>
  <c r="AQ57" i="3"/>
  <c r="AP57" i="3"/>
  <c r="AN56" i="3"/>
  <c r="X56" i="3" s="1"/>
  <c r="AM56" i="3"/>
  <c r="W56" i="3" s="1"/>
  <c r="AL56" i="3"/>
  <c r="V56" i="3"/>
  <c r="AI56" i="3"/>
  <c r="S56" i="3" s="1"/>
  <c r="AJ56" i="3"/>
  <c r="T56" i="3" s="1"/>
  <c r="AK56" i="3"/>
  <c r="U56" i="3" s="1"/>
  <c r="AH57" i="3"/>
  <c r="AO58" i="3" l="1"/>
  <c r="AQ58" i="3"/>
  <c r="AP58" i="3"/>
  <c r="AM57" i="3"/>
  <c r="W57" i="3" s="1"/>
  <c r="AN57" i="3"/>
  <c r="X57" i="3" s="1"/>
  <c r="AL57" i="3"/>
  <c r="V57" i="3" s="1"/>
  <c r="AI57" i="3"/>
  <c r="S57" i="3" s="1"/>
  <c r="AJ57" i="3"/>
  <c r="T57" i="3" s="1"/>
  <c r="AK57" i="3"/>
  <c r="U57" i="3" s="1"/>
  <c r="AH58" i="3"/>
  <c r="AO59" i="3" l="1"/>
  <c r="AQ59" i="3"/>
  <c r="AP59" i="3"/>
  <c r="AM58" i="3"/>
  <c r="W58" i="3" s="1"/>
  <c r="AN58" i="3"/>
  <c r="X58" i="3" s="1"/>
  <c r="AL58" i="3"/>
  <c r="V58" i="3" s="1"/>
  <c r="AI58" i="3"/>
  <c r="S58" i="3" s="1"/>
  <c r="AJ58" i="3"/>
  <c r="T58" i="3" s="1"/>
  <c r="AK58" i="3"/>
  <c r="U58" i="3" s="1"/>
  <c r="AH59" i="3"/>
  <c r="AO60" i="3" l="1"/>
  <c r="AQ60" i="3"/>
  <c r="AP60" i="3"/>
  <c r="AN59" i="3"/>
  <c r="X59" i="3" s="1"/>
  <c r="AM59" i="3"/>
  <c r="W59" i="3" s="1"/>
  <c r="AL59" i="3"/>
  <c r="V59" i="3" s="1"/>
  <c r="AI59" i="3"/>
  <c r="S59" i="3" s="1"/>
  <c r="AJ59" i="3"/>
  <c r="T59" i="3" s="1"/>
  <c r="AK59" i="3"/>
  <c r="U59" i="3" s="1"/>
  <c r="AH60" i="3"/>
  <c r="AO61" i="3" l="1"/>
  <c r="AQ61" i="3"/>
  <c r="AP61" i="3"/>
  <c r="AN60" i="3"/>
  <c r="X60" i="3" s="1"/>
  <c r="AM60" i="3"/>
  <c r="W60" i="3" s="1"/>
  <c r="AL60" i="3"/>
  <c r="V60" i="3" s="1"/>
  <c r="AI60" i="3"/>
  <c r="S60" i="3" s="1"/>
  <c r="AJ60" i="3"/>
  <c r="T60" i="3" s="1"/>
  <c r="AK60" i="3"/>
  <c r="U60" i="3" s="1"/>
  <c r="AH61" i="3"/>
  <c r="AO62" i="3" l="1"/>
  <c r="AQ62" i="3"/>
  <c r="AP62" i="3"/>
  <c r="AM61" i="3"/>
  <c r="W61" i="3" s="1"/>
  <c r="AN61" i="3"/>
  <c r="X61" i="3" s="1"/>
  <c r="AL61" i="3"/>
  <c r="V61" i="3" s="1"/>
  <c r="AI61" i="3"/>
  <c r="S61" i="3" s="1"/>
  <c r="AJ61" i="3"/>
  <c r="T61" i="3" s="1"/>
  <c r="AK61" i="3"/>
  <c r="U61" i="3" s="1"/>
  <c r="AH62" i="3"/>
  <c r="AO63" i="3" l="1"/>
  <c r="AQ63" i="3"/>
  <c r="AP63" i="3"/>
  <c r="AM62" i="3"/>
  <c r="W62" i="3" s="1"/>
  <c r="AN62" i="3"/>
  <c r="X62" i="3" s="1"/>
  <c r="AL62" i="3"/>
  <c r="V62" i="3" s="1"/>
  <c r="AI62" i="3"/>
  <c r="S62" i="3" s="1"/>
  <c r="AJ62" i="3"/>
  <c r="T62" i="3" s="1"/>
  <c r="AK62" i="3"/>
  <c r="U62" i="3" s="1"/>
  <c r="AH63" i="3"/>
  <c r="AO64" i="3" l="1"/>
  <c r="AQ64" i="3"/>
  <c r="AP64" i="3"/>
  <c r="AN63" i="3"/>
  <c r="X63" i="3" s="1"/>
  <c r="AM63" i="3"/>
  <c r="W63" i="3" s="1"/>
  <c r="AL63" i="3"/>
  <c r="V63" i="3" s="1"/>
  <c r="AI63" i="3"/>
  <c r="S63" i="3" s="1"/>
  <c r="AJ63" i="3"/>
  <c r="T63" i="3" s="1"/>
  <c r="AK63" i="3"/>
  <c r="U63" i="3" s="1"/>
  <c r="AH64" i="3"/>
  <c r="AO65" i="3" l="1"/>
  <c r="AP65" i="3"/>
  <c r="AQ65" i="3"/>
  <c r="AN64" i="3"/>
  <c r="X64" i="3" s="1"/>
  <c r="AM64" i="3"/>
  <c r="W64" i="3" s="1"/>
  <c r="AL64" i="3"/>
  <c r="V64" i="3" s="1"/>
  <c r="AI64" i="3"/>
  <c r="S64" i="3" s="1"/>
  <c r="AJ64" i="3"/>
  <c r="T64" i="3" s="1"/>
  <c r="AK64" i="3"/>
  <c r="U64" i="3" s="1"/>
  <c r="AH65" i="3"/>
  <c r="AO66" i="3" l="1"/>
  <c r="AQ66" i="3"/>
  <c r="AP66" i="3"/>
  <c r="AM65" i="3"/>
  <c r="W65" i="3" s="1"/>
  <c r="AN65" i="3"/>
  <c r="X65" i="3" s="1"/>
  <c r="AL65" i="3"/>
  <c r="V65" i="3" s="1"/>
  <c r="AI65" i="3"/>
  <c r="S65" i="3" s="1"/>
  <c r="AJ65" i="3"/>
  <c r="T65" i="3" s="1"/>
  <c r="AK65" i="3"/>
  <c r="U65" i="3" s="1"/>
  <c r="AH66" i="3"/>
  <c r="AO67" i="3" l="1"/>
  <c r="AP67" i="3"/>
  <c r="AQ67" i="3"/>
  <c r="AM66" i="3"/>
  <c r="W66" i="3" s="1"/>
  <c r="AN66" i="3"/>
  <c r="X66" i="3" s="1"/>
  <c r="AL66" i="3"/>
  <c r="V66" i="3" s="1"/>
  <c r="AI66" i="3"/>
  <c r="S66" i="3" s="1"/>
  <c r="AJ66" i="3"/>
  <c r="T66" i="3" s="1"/>
  <c r="AK66" i="3"/>
  <c r="U66" i="3" s="1"/>
  <c r="AH67" i="3"/>
  <c r="AO68" i="3" l="1"/>
  <c r="AQ68" i="3"/>
  <c r="AP68" i="3"/>
  <c r="AN67" i="3"/>
  <c r="X67" i="3" s="1"/>
  <c r="AM67" i="3"/>
  <c r="W67" i="3" s="1"/>
  <c r="AL67" i="3"/>
  <c r="V67" i="3" s="1"/>
  <c r="AI67" i="3"/>
  <c r="S67" i="3" s="1"/>
  <c r="AJ67" i="3"/>
  <c r="T67" i="3" s="1"/>
  <c r="AK67" i="3"/>
  <c r="U67" i="3" s="1"/>
  <c r="AH68" i="3"/>
  <c r="AO69" i="3" l="1"/>
  <c r="AQ69" i="3"/>
  <c r="AP69" i="3"/>
  <c r="AN68" i="3"/>
  <c r="X68" i="3" s="1"/>
  <c r="AM68" i="3"/>
  <c r="W68" i="3" s="1"/>
  <c r="AL68" i="3"/>
  <c r="V68" i="3" s="1"/>
  <c r="AI68" i="3"/>
  <c r="S68" i="3" s="1"/>
  <c r="AJ68" i="3"/>
  <c r="T68" i="3" s="1"/>
  <c r="AK68" i="3"/>
  <c r="U68" i="3" s="1"/>
  <c r="AH69" i="3"/>
  <c r="AO70" i="3" l="1"/>
  <c r="AP70" i="3"/>
  <c r="AQ70" i="3"/>
  <c r="AM69" i="3"/>
  <c r="W69" i="3" s="1"/>
  <c r="AN69" i="3"/>
  <c r="X69" i="3" s="1"/>
  <c r="AL69" i="3"/>
  <c r="V69" i="3" s="1"/>
  <c r="AI69" i="3"/>
  <c r="S69" i="3" s="1"/>
  <c r="AJ69" i="3"/>
  <c r="T69" i="3" s="1"/>
  <c r="AK69" i="3"/>
  <c r="U69" i="3" s="1"/>
  <c r="AH70" i="3"/>
  <c r="AO71" i="3" l="1"/>
  <c r="AP71" i="3"/>
  <c r="AQ71" i="3"/>
  <c r="AM70" i="3"/>
  <c r="W70" i="3" s="1"/>
  <c r="AN70" i="3"/>
  <c r="X70" i="3" s="1"/>
  <c r="AL70" i="3"/>
  <c r="V70" i="3" s="1"/>
  <c r="AI70" i="3"/>
  <c r="S70" i="3" s="1"/>
  <c r="AJ70" i="3"/>
  <c r="T70" i="3" s="1"/>
  <c r="AK70" i="3"/>
  <c r="U70" i="3" s="1"/>
  <c r="AH71" i="3"/>
  <c r="AO72" i="3" l="1"/>
  <c r="AQ72" i="3"/>
  <c r="AP72" i="3"/>
  <c r="AN71" i="3"/>
  <c r="X71" i="3" s="1"/>
  <c r="AM71" i="3"/>
  <c r="W71" i="3" s="1"/>
  <c r="AL71" i="3"/>
  <c r="V71" i="3" s="1"/>
  <c r="AI71" i="3"/>
  <c r="S71" i="3" s="1"/>
  <c r="AJ71" i="3"/>
  <c r="T71" i="3" s="1"/>
  <c r="AK71" i="3"/>
  <c r="U71" i="3" s="1"/>
  <c r="AH72" i="3"/>
  <c r="AO73" i="3" l="1"/>
  <c r="AQ73" i="3"/>
  <c r="AP73" i="3"/>
  <c r="AN72" i="3"/>
  <c r="X72" i="3" s="1"/>
  <c r="AM72" i="3"/>
  <c r="W72" i="3" s="1"/>
  <c r="AL72" i="3"/>
  <c r="V72" i="3" s="1"/>
  <c r="AI72" i="3"/>
  <c r="S72" i="3" s="1"/>
  <c r="AJ72" i="3"/>
  <c r="T72" i="3" s="1"/>
  <c r="AK72" i="3"/>
  <c r="U72" i="3" s="1"/>
  <c r="AH73" i="3"/>
  <c r="AO74" i="3" l="1"/>
  <c r="AP74" i="3"/>
  <c r="AQ74" i="3"/>
  <c r="AM73" i="3"/>
  <c r="W73" i="3" s="1"/>
  <c r="AN73" i="3"/>
  <c r="X73" i="3" s="1"/>
  <c r="AL73" i="3"/>
  <c r="V73" i="3" s="1"/>
  <c r="AI73" i="3"/>
  <c r="S73" i="3" s="1"/>
  <c r="AJ73" i="3"/>
  <c r="T73" i="3" s="1"/>
  <c r="AK73" i="3"/>
  <c r="U73" i="3" s="1"/>
  <c r="AH74" i="3"/>
  <c r="AO75" i="3" l="1"/>
  <c r="AQ75" i="3"/>
  <c r="AP75" i="3"/>
  <c r="AM74" i="3"/>
  <c r="W74" i="3" s="1"/>
  <c r="AN74" i="3"/>
  <c r="X74" i="3" s="1"/>
  <c r="AL74" i="3"/>
  <c r="V74" i="3" s="1"/>
  <c r="AI74" i="3"/>
  <c r="S74" i="3" s="1"/>
  <c r="AJ74" i="3"/>
  <c r="T74" i="3" s="1"/>
  <c r="AK74" i="3"/>
  <c r="U74" i="3" s="1"/>
  <c r="AH75" i="3"/>
  <c r="AO76" i="3" l="1"/>
  <c r="AP76" i="3"/>
  <c r="AQ76" i="3"/>
  <c r="AN75" i="3"/>
  <c r="X75" i="3" s="1"/>
  <c r="AM75" i="3"/>
  <c r="W75" i="3" s="1"/>
  <c r="AL75" i="3"/>
  <c r="V75" i="3" s="1"/>
  <c r="AI75" i="3"/>
  <c r="S75" i="3" s="1"/>
  <c r="AJ75" i="3"/>
  <c r="T75" i="3" s="1"/>
  <c r="AK75" i="3"/>
  <c r="U75" i="3" s="1"/>
  <c r="AH76" i="3"/>
  <c r="AO77" i="3" l="1"/>
  <c r="AQ77" i="3"/>
  <c r="AP77" i="3"/>
  <c r="AN76" i="3"/>
  <c r="X76" i="3" s="1"/>
  <c r="AM76" i="3"/>
  <c r="W76" i="3" s="1"/>
  <c r="AL76" i="3"/>
  <c r="V76" i="3" s="1"/>
  <c r="AI76" i="3"/>
  <c r="S76" i="3" s="1"/>
  <c r="AJ76" i="3"/>
  <c r="T76" i="3" s="1"/>
  <c r="AK76" i="3"/>
  <c r="U76" i="3" s="1"/>
  <c r="AH77" i="3"/>
  <c r="AO78" i="3" l="1"/>
  <c r="AQ78" i="3"/>
  <c r="AP78" i="3"/>
  <c r="AM77" i="3"/>
  <c r="AN77" i="3"/>
  <c r="X77" i="3" s="1"/>
  <c r="AL77" i="3"/>
  <c r="V77" i="3" s="1"/>
  <c r="W77" i="3"/>
  <c r="AI77" i="3"/>
  <c r="S77" i="3" s="1"/>
  <c r="AJ77" i="3"/>
  <c r="T77" i="3" s="1"/>
  <c r="AK77" i="3"/>
  <c r="U77" i="3" s="1"/>
  <c r="AH78" i="3"/>
  <c r="AO79" i="3" l="1"/>
  <c r="AQ79" i="3"/>
  <c r="AP79" i="3"/>
  <c r="AM78" i="3"/>
  <c r="W78" i="3" s="1"/>
  <c r="AN78" i="3"/>
  <c r="X78" i="3" s="1"/>
  <c r="AL78" i="3"/>
  <c r="V78" i="3" s="1"/>
  <c r="AI78" i="3"/>
  <c r="S78" i="3" s="1"/>
  <c r="AJ78" i="3"/>
  <c r="T78" i="3" s="1"/>
  <c r="AK78" i="3"/>
  <c r="U78" i="3" s="1"/>
  <c r="AH79" i="3"/>
  <c r="AO80" i="3" l="1"/>
  <c r="AQ80" i="3"/>
  <c r="AP80" i="3"/>
  <c r="AN79" i="3"/>
  <c r="X79" i="3" s="1"/>
  <c r="AM79" i="3"/>
  <c r="W79" i="3" s="1"/>
  <c r="AL79" i="3"/>
  <c r="V79" i="3" s="1"/>
  <c r="AI79" i="3"/>
  <c r="S79" i="3" s="1"/>
  <c r="AJ79" i="3"/>
  <c r="T79" i="3" s="1"/>
  <c r="AK79" i="3"/>
  <c r="U79" i="3" s="1"/>
  <c r="AH80" i="3"/>
  <c r="AO81" i="3" l="1"/>
  <c r="AQ81" i="3"/>
  <c r="AP81" i="3"/>
  <c r="AN80" i="3"/>
  <c r="X80" i="3" s="1"/>
  <c r="AM80" i="3"/>
  <c r="W80" i="3" s="1"/>
  <c r="AL80" i="3"/>
  <c r="V80" i="3" s="1"/>
  <c r="AI80" i="3"/>
  <c r="S80" i="3" s="1"/>
  <c r="AJ80" i="3"/>
  <c r="T80" i="3" s="1"/>
  <c r="AK80" i="3"/>
  <c r="U80" i="3" s="1"/>
  <c r="AH81" i="3"/>
  <c r="AO82" i="3" l="1"/>
  <c r="AQ82" i="3"/>
  <c r="AP82" i="3"/>
  <c r="AM81" i="3"/>
  <c r="W81" i="3" s="1"/>
  <c r="AN81" i="3"/>
  <c r="X81" i="3" s="1"/>
  <c r="AL81" i="3"/>
  <c r="V81" i="3" s="1"/>
  <c r="AI81" i="3"/>
  <c r="S81" i="3" s="1"/>
  <c r="AJ81" i="3"/>
  <c r="T81" i="3" s="1"/>
  <c r="AK81" i="3"/>
  <c r="U81" i="3" s="1"/>
  <c r="AH82" i="3"/>
  <c r="AO83" i="3" l="1"/>
  <c r="AQ83" i="3"/>
  <c r="AP83" i="3"/>
  <c r="AM82" i="3"/>
  <c r="W82" i="3" s="1"/>
  <c r="AN82" i="3"/>
  <c r="X82" i="3" s="1"/>
  <c r="AL82" i="3"/>
  <c r="V82" i="3" s="1"/>
  <c r="AI82" i="3"/>
  <c r="S82" i="3" s="1"/>
  <c r="AJ82" i="3"/>
  <c r="T82" i="3" s="1"/>
  <c r="AK82" i="3"/>
  <c r="U82" i="3" s="1"/>
  <c r="AH83" i="3"/>
  <c r="AO84" i="3" l="1"/>
  <c r="AQ84" i="3"/>
  <c r="AP84" i="3"/>
  <c r="AN83" i="3"/>
  <c r="X83" i="3" s="1"/>
  <c r="AM83" i="3"/>
  <c r="W83" i="3" s="1"/>
  <c r="AL83" i="3"/>
  <c r="V83" i="3" s="1"/>
  <c r="AI83" i="3"/>
  <c r="S83" i="3" s="1"/>
  <c r="AJ83" i="3"/>
  <c r="T83" i="3" s="1"/>
  <c r="AK83" i="3"/>
  <c r="U83" i="3" s="1"/>
  <c r="AH84" i="3"/>
  <c r="AO85" i="3" l="1"/>
  <c r="AQ85" i="3"/>
  <c r="AP85" i="3"/>
  <c r="AN84" i="3"/>
  <c r="X84" i="3" s="1"/>
  <c r="AM84" i="3"/>
  <c r="W84" i="3" s="1"/>
  <c r="AL84" i="3"/>
  <c r="V84" i="3" s="1"/>
  <c r="AI84" i="3"/>
  <c r="S84" i="3" s="1"/>
  <c r="AJ84" i="3"/>
  <c r="T84" i="3" s="1"/>
  <c r="AK84" i="3"/>
  <c r="U84" i="3" s="1"/>
  <c r="AH85" i="3"/>
  <c r="AO86" i="3" l="1"/>
  <c r="AQ86" i="3"/>
  <c r="AP86" i="3"/>
  <c r="AM85" i="3"/>
  <c r="W85" i="3" s="1"/>
  <c r="AN85" i="3"/>
  <c r="X85" i="3" s="1"/>
  <c r="AL85" i="3"/>
  <c r="V85" i="3" s="1"/>
  <c r="AI85" i="3"/>
  <c r="S85" i="3" s="1"/>
  <c r="AJ85" i="3"/>
  <c r="T85" i="3" s="1"/>
  <c r="AK85" i="3"/>
  <c r="U85" i="3" s="1"/>
  <c r="AH86" i="3"/>
  <c r="AO87" i="3" l="1"/>
  <c r="AQ87" i="3"/>
  <c r="AP87" i="3"/>
  <c r="AM86" i="3"/>
  <c r="W86" i="3" s="1"/>
  <c r="AN86" i="3"/>
  <c r="X86" i="3" s="1"/>
  <c r="AL86" i="3"/>
  <c r="V86" i="3" s="1"/>
  <c r="AI86" i="3"/>
  <c r="S86" i="3" s="1"/>
  <c r="AJ86" i="3"/>
  <c r="T86" i="3" s="1"/>
  <c r="AK86" i="3"/>
  <c r="U86" i="3" s="1"/>
  <c r="AH87" i="3"/>
  <c r="AO88" i="3" l="1"/>
  <c r="AQ88" i="3"/>
  <c r="AP88" i="3"/>
  <c r="AN87" i="3"/>
  <c r="X87" i="3" s="1"/>
  <c r="AM87" i="3"/>
  <c r="W87" i="3" s="1"/>
  <c r="AL87" i="3"/>
  <c r="V87" i="3" s="1"/>
  <c r="AI87" i="3"/>
  <c r="S87" i="3" s="1"/>
  <c r="AJ87" i="3"/>
  <c r="T87" i="3" s="1"/>
  <c r="AK87" i="3"/>
  <c r="U87" i="3" s="1"/>
  <c r="AH88" i="3"/>
  <c r="AO89" i="3" l="1"/>
  <c r="AQ89" i="3"/>
  <c r="AP89" i="3"/>
  <c r="AN88" i="3"/>
  <c r="X88" i="3" s="1"/>
  <c r="AM88" i="3"/>
  <c r="W88" i="3" s="1"/>
  <c r="AL88" i="3"/>
  <c r="V88" i="3" s="1"/>
  <c r="AI88" i="3"/>
  <c r="S88" i="3" s="1"/>
  <c r="AJ88" i="3"/>
  <c r="T88" i="3" s="1"/>
  <c r="AK88" i="3"/>
  <c r="U88" i="3" s="1"/>
  <c r="AH89" i="3"/>
  <c r="AO90" i="3" l="1"/>
  <c r="AP90" i="3"/>
  <c r="AQ90" i="3"/>
  <c r="AM89" i="3"/>
  <c r="W89" i="3" s="1"/>
  <c r="AN89" i="3"/>
  <c r="X89" i="3" s="1"/>
  <c r="AL89" i="3"/>
  <c r="V89" i="3" s="1"/>
  <c r="AI89" i="3"/>
  <c r="S89" i="3" s="1"/>
  <c r="AJ89" i="3"/>
  <c r="T89" i="3" s="1"/>
  <c r="AK89" i="3"/>
  <c r="U89" i="3" s="1"/>
  <c r="AH90" i="3"/>
  <c r="AO91" i="3" l="1"/>
  <c r="AQ91" i="3"/>
  <c r="AP91" i="3"/>
  <c r="AM90" i="3"/>
  <c r="W90" i="3" s="1"/>
  <c r="AN90" i="3"/>
  <c r="X90" i="3" s="1"/>
  <c r="AL90" i="3"/>
  <c r="V90" i="3" s="1"/>
  <c r="AI90" i="3"/>
  <c r="S90" i="3" s="1"/>
  <c r="AJ90" i="3"/>
  <c r="T90" i="3" s="1"/>
  <c r="AK90" i="3"/>
  <c r="U90" i="3" s="1"/>
  <c r="AH91" i="3"/>
  <c r="AO92" i="3" l="1"/>
  <c r="AP92" i="3"/>
  <c r="AQ92" i="3"/>
  <c r="AN91" i="3"/>
  <c r="X91" i="3" s="1"/>
  <c r="AM91" i="3"/>
  <c r="W91" i="3" s="1"/>
  <c r="AL91" i="3"/>
  <c r="V91" i="3" s="1"/>
  <c r="AI91" i="3"/>
  <c r="S91" i="3" s="1"/>
  <c r="AJ91" i="3"/>
  <c r="T91" i="3" s="1"/>
  <c r="AK91" i="3"/>
  <c r="U91" i="3" s="1"/>
  <c r="AH92" i="3"/>
  <c r="AO93" i="3" l="1"/>
  <c r="AQ93" i="3"/>
  <c r="AP93" i="3"/>
  <c r="AN92" i="3"/>
  <c r="X92" i="3" s="1"/>
  <c r="AM92" i="3"/>
  <c r="W92" i="3" s="1"/>
  <c r="AL92" i="3"/>
  <c r="V92" i="3" s="1"/>
  <c r="AI92" i="3"/>
  <c r="S92" i="3" s="1"/>
  <c r="AJ92" i="3"/>
  <c r="T92" i="3" s="1"/>
  <c r="AK92" i="3"/>
  <c r="U92" i="3" s="1"/>
  <c r="AH93" i="3"/>
  <c r="AO94" i="3" l="1"/>
  <c r="AQ94" i="3"/>
  <c r="AP94" i="3"/>
  <c r="AM93" i="3"/>
  <c r="W93" i="3" s="1"/>
  <c r="AN93" i="3"/>
  <c r="X93" i="3" s="1"/>
  <c r="AL93" i="3"/>
  <c r="V93" i="3" s="1"/>
  <c r="AI93" i="3"/>
  <c r="S93" i="3" s="1"/>
  <c r="AJ93" i="3"/>
  <c r="T93" i="3" s="1"/>
  <c r="AK93" i="3"/>
  <c r="U93" i="3" s="1"/>
  <c r="AH94" i="3"/>
  <c r="AO95" i="3" l="1"/>
  <c r="AQ95" i="3"/>
  <c r="AP95" i="3"/>
  <c r="AM94" i="3"/>
  <c r="W94" i="3" s="1"/>
  <c r="AN94" i="3"/>
  <c r="X94" i="3" s="1"/>
  <c r="AL94" i="3"/>
  <c r="V94" i="3" s="1"/>
  <c r="AI94" i="3"/>
  <c r="S94" i="3" s="1"/>
  <c r="AJ94" i="3"/>
  <c r="T94" i="3" s="1"/>
  <c r="AK94" i="3"/>
  <c r="U94" i="3" s="1"/>
  <c r="AH95" i="3"/>
  <c r="AO96" i="3" l="1"/>
  <c r="AQ96" i="3"/>
  <c r="AP96" i="3"/>
  <c r="AN95" i="3"/>
  <c r="X95" i="3" s="1"/>
  <c r="AM95" i="3"/>
  <c r="W95" i="3" s="1"/>
  <c r="AL95" i="3"/>
  <c r="V95" i="3" s="1"/>
  <c r="AI95" i="3"/>
  <c r="S95" i="3" s="1"/>
  <c r="AJ95" i="3"/>
  <c r="T95" i="3" s="1"/>
  <c r="AK95" i="3"/>
  <c r="U95" i="3" s="1"/>
  <c r="AH96" i="3"/>
  <c r="AO97" i="3" l="1"/>
  <c r="AP97" i="3"/>
  <c r="AQ97" i="3"/>
  <c r="AN96" i="3"/>
  <c r="X96" i="3" s="1"/>
  <c r="AM96" i="3"/>
  <c r="W96" i="3" s="1"/>
  <c r="AL96" i="3"/>
  <c r="V96" i="3" s="1"/>
  <c r="AI96" i="3"/>
  <c r="S96" i="3" s="1"/>
  <c r="AJ96" i="3"/>
  <c r="T96" i="3" s="1"/>
  <c r="AK96" i="3"/>
  <c r="U96" i="3" s="1"/>
  <c r="AH97" i="3"/>
  <c r="AO98" i="3" l="1"/>
  <c r="AQ98" i="3"/>
  <c r="AP98" i="3"/>
  <c r="AM97" i="3"/>
  <c r="W97" i="3" s="1"/>
  <c r="AN97" i="3"/>
  <c r="X97" i="3" s="1"/>
  <c r="AL97" i="3"/>
  <c r="V97" i="3" s="1"/>
  <c r="AI97" i="3"/>
  <c r="S97" i="3" s="1"/>
  <c r="AJ97" i="3"/>
  <c r="T97" i="3" s="1"/>
  <c r="AK97" i="3"/>
  <c r="U97" i="3" s="1"/>
  <c r="AH98" i="3"/>
  <c r="AO99" i="3" l="1"/>
  <c r="AP99" i="3"/>
  <c r="AQ99" i="3"/>
  <c r="AM98" i="3"/>
  <c r="W98" i="3" s="1"/>
  <c r="AN98" i="3"/>
  <c r="X98" i="3" s="1"/>
  <c r="AL98" i="3"/>
  <c r="V98" i="3" s="1"/>
  <c r="AI98" i="3"/>
  <c r="S98" i="3" s="1"/>
  <c r="AJ98" i="3"/>
  <c r="T98" i="3" s="1"/>
  <c r="AK98" i="3"/>
  <c r="U98" i="3" s="1"/>
  <c r="AH99" i="3"/>
  <c r="AO100" i="3" l="1"/>
  <c r="AQ100" i="3"/>
  <c r="AP100" i="3"/>
  <c r="AN99" i="3"/>
  <c r="X99" i="3" s="1"/>
  <c r="AM99" i="3"/>
  <c r="W99" i="3" s="1"/>
  <c r="AL99" i="3"/>
  <c r="V99" i="3" s="1"/>
  <c r="AI99" i="3"/>
  <c r="S99" i="3" s="1"/>
  <c r="AJ99" i="3"/>
  <c r="T99" i="3" s="1"/>
  <c r="AK99" i="3"/>
  <c r="U99" i="3" s="1"/>
  <c r="AH100" i="3"/>
  <c r="AO101" i="3" l="1"/>
  <c r="AP101" i="3"/>
  <c r="AQ101" i="3"/>
  <c r="AN100" i="3"/>
  <c r="X100" i="3" s="1"/>
  <c r="AM100" i="3"/>
  <c r="W100" i="3" s="1"/>
  <c r="AL100" i="3"/>
  <c r="V100" i="3" s="1"/>
  <c r="AI100" i="3"/>
  <c r="S100" i="3" s="1"/>
  <c r="AJ100" i="3"/>
  <c r="T100" i="3" s="1"/>
  <c r="AK100" i="3"/>
  <c r="U100" i="3" s="1"/>
  <c r="AH101" i="3"/>
  <c r="AO102" i="3" l="1"/>
  <c r="AQ102" i="3"/>
  <c r="AP102" i="3"/>
  <c r="AM101" i="3"/>
  <c r="W101" i="3" s="1"/>
  <c r="AN101" i="3"/>
  <c r="X101" i="3" s="1"/>
  <c r="AL101" i="3"/>
  <c r="V101" i="3" s="1"/>
  <c r="AI101" i="3"/>
  <c r="S101" i="3" s="1"/>
  <c r="AJ101" i="3"/>
  <c r="T101" i="3" s="1"/>
  <c r="AK101" i="3"/>
  <c r="U101" i="3" s="1"/>
  <c r="AH102" i="3"/>
  <c r="AO103" i="3" l="1"/>
  <c r="AQ103" i="3"/>
  <c r="AP103" i="3"/>
  <c r="AM102" i="3"/>
  <c r="W102" i="3" s="1"/>
  <c r="AN102" i="3"/>
  <c r="X102" i="3" s="1"/>
  <c r="AL102" i="3"/>
  <c r="V102" i="3" s="1"/>
  <c r="AI102" i="3"/>
  <c r="S102" i="3" s="1"/>
  <c r="AJ102" i="3"/>
  <c r="T102" i="3" s="1"/>
  <c r="AK102" i="3"/>
  <c r="U102" i="3" s="1"/>
  <c r="AH103" i="3"/>
  <c r="AO104" i="3" l="1"/>
  <c r="AQ104" i="3"/>
  <c r="AP104" i="3"/>
  <c r="AN103" i="3"/>
  <c r="X103" i="3" s="1"/>
  <c r="AM103" i="3"/>
  <c r="W103" i="3" s="1"/>
  <c r="AL103" i="3"/>
  <c r="V103" i="3" s="1"/>
  <c r="AI103" i="3"/>
  <c r="S103" i="3" s="1"/>
  <c r="AJ103" i="3"/>
  <c r="T103" i="3" s="1"/>
  <c r="AK103" i="3"/>
  <c r="U103" i="3" s="1"/>
  <c r="AH104" i="3"/>
  <c r="AO105" i="3" l="1"/>
  <c r="AQ105" i="3"/>
  <c r="AP105" i="3"/>
  <c r="AN104" i="3"/>
  <c r="X104" i="3" s="1"/>
  <c r="AM104" i="3"/>
  <c r="W104" i="3" s="1"/>
  <c r="AL104" i="3"/>
  <c r="V104" i="3" s="1"/>
  <c r="AI104" i="3"/>
  <c r="S104" i="3" s="1"/>
  <c r="AJ104" i="3"/>
  <c r="T104" i="3" s="1"/>
  <c r="AK104" i="3"/>
  <c r="U104" i="3" s="1"/>
  <c r="AH105" i="3"/>
  <c r="AO106" i="3" l="1"/>
  <c r="AQ106" i="3"/>
  <c r="AP106" i="3"/>
  <c r="AM105" i="3"/>
  <c r="W105" i="3" s="1"/>
  <c r="AN105" i="3"/>
  <c r="X105" i="3" s="1"/>
  <c r="AL105" i="3"/>
  <c r="V105" i="3" s="1"/>
  <c r="AI105" i="3"/>
  <c r="S105" i="3" s="1"/>
  <c r="AJ105" i="3"/>
  <c r="T105" i="3" s="1"/>
  <c r="AK105" i="3"/>
  <c r="U105" i="3" s="1"/>
  <c r="AH106" i="3"/>
  <c r="AO107" i="3" l="1"/>
  <c r="AQ107" i="3"/>
  <c r="AP107" i="3"/>
  <c r="AM106" i="3"/>
  <c r="W106" i="3" s="1"/>
  <c r="AN106" i="3"/>
  <c r="X106" i="3" s="1"/>
  <c r="AL106" i="3"/>
  <c r="V106" i="3" s="1"/>
  <c r="AI106" i="3"/>
  <c r="S106" i="3" s="1"/>
  <c r="AJ106" i="3"/>
  <c r="T106" i="3" s="1"/>
  <c r="AK106" i="3"/>
  <c r="U106" i="3" s="1"/>
  <c r="AH107" i="3"/>
  <c r="AN107" i="3" l="1"/>
  <c r="X107" i="3" s="1"/>
  <c r="O6" i="3" s="1"/>
  <c r="AM107" i="3"/>
  <c r="W107" i="3" s="1"/>
  <c r="N6" i="3" s="1"/>
  <c r="AL107" i="3"/>
  <c r="V107" i="3" s="1"/>
  <c r="M6" i="3" s="1"/>
  <c r="AI107" i="3"/>
  <c r="S107" i="3" s="1"/>
  <c r="M5" i="3" s="1"/>
  <c r="AJ107" i="3"/>
  <c r="T107" i="3" s="1"/>
  <c r="N5" i="3" s="1"/>
  <c r="AK107" i="3"/>
  <c r="U107" i="3" s="1"/>
  <c r="O5" i="3" s="1"/>
  <c r="M8" i="3" l="1"/>
  <c r="M10" i="3" s="1"/>
  <c r="M12" i="3" s="1"/>
  <c r="O8" i="3"/>
  <c r="N8" i="3"/>
  <c r="N10" i="3" s="1"/>
  <c r="N16" i="3" l="1"/>
  <c r="O10" i="3"/>
  <c r="O12" i="3" s="1"/>
  <c r="O13" i="3" s="1"/>
  <c r="N12" i="3"/>
  <c r="N13" i="3" s="1"/>
  <c r="O16" i="3" l="1"/>
  <c r="M16" i="3"/>
  <c r="O18" i="3"/>
  <c r="M13" i="3"/>
  <c r="M17" i="3"/>
  <c r="N17" i="3"/>
  <c r="O17" i="3"/>
  <c r="M18" i="3"/>
  <c r="N18" i="3"/>
  <c r="L3" i="9"/>
  <c r="L4" i="9"/>
  <c r="L2" i="9"/>
</calcChain>
</file>

<file path=xl/sharedStrings.xml><?xml version="1.0" encoding="utf-8"?>
<sst xmlns="http://schemas.openxmlformats.org/spreadsheetml/2006/main" count="640" uniqueCount="333">
  <si>
    <t xml:space="preserve"> </t>
  </si>
  <si>
    <t>MODULE</t>
  </si>
  <si>
    <t>VARIABLE CATEGORY</t>
  </si>
  <si>
    <t>VARIABLE</t>
  </si>
  <si>
    <t>UNIT</t>
  </si>
  <si>
    <t>STRATEGY 1</t>
  </si>
  <si>
    <t>STRATEGY 2</t>
  </si>
  <si>
    <t>STRATEGY 3</t>
  </si>
  <si>
    <t>Data</t>
  </si>
  <si>
    <t>Double-check value</t>
  </si>
  <si>
    <t>RESULTS</t>
  </si>
  <si>
    <t>NPV/meter (track length)</t>
  </si>
  <si>
    <t>Present Value Cost (PVC) streams</t>
  </si>
  <si>
    <t>Calc. of PVC streams</t>
  </si>
  <si>
    <t>Renewal</t>
  </si>
  <si>
    <t>End-of-life</t>
  </si>
  <si>
    <t>Maintenance</t>
  </si>
  <si>
    <t>Train operation</t>
  </si>
  <si>
    <t>Introduction</t>
  </si>
  <si>
    <t>INFRASTRUCTURE</t>
  </si>
  <si>
    <t>Technical characteristics</t>
  </si>
  <si>
    <t>Track lifetime [max 100]</t>
  </si>
  <si>
    <t>years</t>
  </si>
  <si>
    <t>ASEK 7.0 [3]</t>
  </si>
  <si>
    <t>The Grinding Evaluation Model (GEM) is a LCC tool for comparing rail grinding strategies.</t>
  </si>
  <si>
    <t>Rail lifetime [max 100]</t>
  </si>
  <si>
    <t>Simulation output</t>
  </si>
  <si>
    <t>Train operations</t>
  </si>
  <si>
    <t>Train type k=1</t>
  </si>
  <si>
    <t>Train type k=2</t>
  </si>
  <si>
    <t xml:space="preserve">It is a framework based on simulation of track degradation, which together with maintenane </t>
  </si>
  <si>
    <t>Track length</t>
  </si>
  <si>
    <t>meters</t>
  </si>
  <si>
    <t>User input</t>
  </si>
  <si>
    <t>Number of rail lifecycles</t>
  </si>
  <si>
    <t>Strategy 1</t>
  </si>
  <si>
    <t>Strategy 2</t>
  </si>
  <si>
    <t>Strategy 3</t>
  </si>
  <si>
    <t>Year</t>
  </si>
  <si>
    <t xml:space="preserve">limits determines the grinding activities. Simulations are carried out by the user, and the </t>
  </si>
  <si>
    <t xml:space="preserve">simulation inputs and outputs are inserted into this LCC tool. </t>
  </si>
  <si>
    <t>Activities</t>
  </si>
  <si>
    <t>Track renewal</t>
  </si>
  <si>
    <t>LCC_infra</t>
  </si>
  <si>
    <t>The default values are based on [1], [2], and [3].</t>
  </si>
  <si>
    <t>Rail renewal</t>
  </si>
  <si>
    <t>LCC_train_oper</t>
  </si>
  <si>
    <t>Grinding</t>
  </si>
  <si>
    <t>LCC_tot</t>
  </si>
  <si>
    <t>Grinding frequency</t>
  </si>
  <si>
    <t>number/year</t>
  </si>
  <si>
    <t>Simulation input</t>
  </si>
  <si>
    <t>Track possession time, grinding</t>
  </si>
  <si>
    <t>hours/grinding activity</t>
  </si>
  <si>
    <t>PO / TRAFIKVERKET ? Longer time when grinding once per year?</t>
  </si>
  <si>
    <t>Annuity</t>
  </si>
  <si>
    <t>Double-check: NPV of annuity</t>
  </si>
  <si>
    <t>Intermediate output (calculated)</t>
  </si>
  <si>
    <t>Rail renewals</t>
  </si>
  <si>
    <t>number/track liftetime</t>
  </si>
  <si>
    <t>Calc. output</t>
  </si>
  <si>
    <t>number/track lifetime</t>
  </si>
  <si>
    <t>INDEX (LCC_tot stategy = 100)</t>
  </si>
  <si>
    <t>Residual (remaining service life of rail)</t>
  </si>
  <si>
    <t>years/meter</t>
  </si>
  <si>
    <t>Costs</t>
  </si>
  <si>
    <t>Track renewal (material + work)</t>
  </si>
  <si>
    <t>SEK/m</t>
  </si>
  <si>
    <t>Rail renewal (material + work)</t>
  </si>
  <si>
    <t>PO / TRAFIKVERKET ?</t>
  </si>
  <si>
    <t>SEK/meter</t>
  </si>
  <si>
    <t>PO Larsson Kråik</t>
  </si>
  <si>
    <t>End of life</t>
  </si>
  <si>
    <t>Disposal of rail waste (neg. value if benefit)</t>
  </si>
  <si>
    <t>TRAIN OPERATIONS</t>
  </si>
  <si>
    <t>Train demand two directions, train type k=1</t>
  </si>
  <si>
    <t>departures/h</t>
  </si>
  <si>
    <t>[20 trains per day]</t>
  </si>
  <si>
    <t xml:space="preserve">Alternatively, user can insert </t>
  </si>
  <si>
    <t>Train demand two directions, train type k=2</t>
  </si>
  <si>
    <t xml:space="preserve">cancellation cost on rows 63-65 which </t>
  </si>
  <si>
    <t>Train demand two directions, train type k=3</t>
  </si>
  <si>
    <t>will override inputs on rows 24 to 61</t>
  </si>
  <si>
    <r>
      <rPr>
        <i/>
        <sz val="11"/>
        <color theme="9" tint="-0.249977111117893"/>
        <rFont val="Calibri"/>
        <family val="2"/>
        <scheme val="minor"/>
      </rPr>
      <t xml:space="preserve">Distance </t>
    </r>
    <r>
      <rPr>
        <b/>
        <i/>
        <sz val="11"/>
        <color rgb="FFFF0000"/>
        <rFont val="Calibri"/>
        <family val="2"/>
        <scheme val="minor"/>
      </rPr>
      <t>[Kiruna-Luleå]</t>
    </r>
  </si>
  <si>
    <t>Origin-Dest., train type k=1</t>
  </si>
  <si>
    <t>km</t>
  </si>
  <si>
    <t>Origin-Dest., train type k=2</t>
  </si>
  <si>
    <t>Origin-Dest., train type k=3</t>
  </si>
  <si>
    <t>Schematic diagram of simulation procedure and assessment</t>
  </si>
  <si>
    <r>
      <t xml:space="preserve">Transp. time </t>
    </r>
    <r>
      <rPr>
        <i/>
        <u/>
        <sz val="11"/>
        <color theme="9" tint="-0.249977111117893"/>
        <rFont val="Calibri"/>
        <family val="2"/>
        <scheme val="minor"/>
      </rPr>
      <t>without stops</t>
    </r>
  </si>
  <si>
    <t>minutes/trip</t>
  </si>
  <si>
    <t>Calculation overview</t>
  </si>
  <si>
    <r>
      <t xml:space="preserve">("Basic running time </t>
    </r>
    <r>
      <rPr>
        <i/>
        <sz val="11"/>
        <color theme="9" tint="-0.249977111117893"/>
        <rFont val="Calibri"/>
        <family val="2"/>
      </rPr>
      <t>{direct}</t>
    </r>
    <r>
      <rPr>
        <i/>
        <sz val="11"/>
        <color theme="9" tint="-0.249977111117893"/>
        <rFont val="Calibri"/>
        <family val="2"/>
        <scheme val="minor"/>
      </rPr>
      <t>")</t>
    </r>
  </si>
  <si>
    <r>
      <rPr>
        <b/>
        <sz val="11"/>
        <rFont val="Calibri"/>
        <family val="2"/>
        <scheme val="minor"/>
      </rPr>
      <t>LCC_tot</t>
    </r>
    <r>
      <rPr>
        <b/>
        <sz val="11"/>
        <color theme="1"/>
        <rFont val="Calibri"/>
        <family val="2"/>
        <scheme val="minor"/>
      </rPr>
      <t xml:space="preserve"> = </t>
    </r>
    <r>
      <rPr>
        <b/>
        <sz val="11"/>
        <color theme="0" tint="-0.499984740745262"/>
        <rFont val="Calibri"/>
        <family val="2"/>
        <scheme val="minor"/>
      </rPr>
      <t>LCC_infra</t>
    </r>
    <r>
      <rPr>
        <b/>
        <sz val="11"/>
        <color theme="1"/>
        <rFont val="Calibri"/>
        <family val="2"/>
        <scheme val="minor"/>
      </rPr>
      <t xml:space="preserve"> + </t>
    </r>
    <r>
      <rPr>
        <b/>
        <sz val="11"/>
        <color theme="9" tint="-0.249977111117893"/>
        <rFont val="Calibri"/>
        <family val="2"/>
        <scheme val="minor"/>
      </rPr>
      <t>LCC_train_oper</t>
    </r>
    <r>
      <rPr>
        <b/>
        <sz val="11"/>
        <color theme="1"/>
        <rFont val="Calibri"/>
        <family val="2"/>
        <scheme val="minor"/>
      </rPr>
      <t xml:space="preserve"> + </t>
    </r>
    <r>
      <rPr>
        <b/>
        <sz val="11"/>
        <color rgb="FF7030A0"/>
        <rFont val="Calibri"/>
        <family val="2"/>
        <scheme val="minor"/>
      </rPr>
      <t>LCC_external</t>
    </r>
  </si>
  <si>
    <t>Cost for excluded train path =  [time*(100 + K_k)*(100 + J_k)]*B_k + distance*C_k</t>
  </si>
  <si>
    <t>where time*(100 + K_k)*(100 + J_k) is calculated transport time using parameters that add time due to applied-for</t>
  </si>
  <si>
    <r>
      <t xml:space="preserve">Transp. time </t>
    </r>
    <r>
      <rPr>
        <i/>
        <u/>
        <sz val="11"/>
        <color theme="0" tint="-0.34998626667073579"/>
        <rFont val="Calibri"/>
        <family val="2"/>
        <scheme val="minor"/>
      </rPr>
      <t>with stops</t>
    </r>
  </si>
  <si>
    <t xml:space="preserve">stops, and a “benefit limit” J_k (percentage) set with respect to cost parameters such that the exclusion cost </t>
  </si>
  <si>
    <t>reflects the maximum train delay before the commercial value of the trip is lost [2].</t>
  </si>
  <si>
    <t>Alternatively, the user can insert cost per hour for excluded train path(s) on rows 63-65</t>
  </si>
  <si>
    <r>
      <rPr>
        <b/>
        <i/>
        <sz val="11"/>
        <rFont val="Calibri"/>
        <family val="2"/>
        <scheme val="minor"/>
      </rPr>
      <t xml:space="preserve">OR </t>
    </r>
    <r>
      <rPr>
        <i/>
        <sz val="11"/>
        <rFont val="Calibri"/>
        <family val="2"/>
        <scheme val="minor"/>
      </rPr>
      <t xml:space="preserve">USER INPUT transp. time </t>
    </r>
    <r>
      <rPr>
        <i/>
        <u/>
        <sz val="11"/>
        <rFont val="Calibri"/>
        <family val="2"/>
        <scheme val="minor"/>
      </rPr>
      <t>with stops</t>
    </r>
  </si>
  <si>
    <r>
      <t xml:space="preserve">CASE SELECTION for </t>
    </r>
    <r>
      <rPr>
        <b/>
        <sz val="12"/>
        <color theme="9" tint="-0.249977111117893"/>
        <rFont val="Calibri"/>
        <family val="2"/>
        <scheme val="minor"/>
      </rPr>
      <t>LCC_train_oper</t>
    </r>
  </si>
  <si>
    <t>Train types running on the line</t>
  </si>
  <si>
    <t>Trains cancelled</t>
  </si>
  <si>
    <t>Canc. trains due to grinding, train type k=1</t>
  </si>
  <si>
    <t>trips/year</t>
  </si>
  <si>
    <t>Train type k=1 [select in drop-down list in row below]</t>
  </si>
  <si>
    <t>(to pre-allocate capacity for grinding)</t>
  </si>
  <si>
    <t>Canc. trains due to grinding, train type k=2</t>
  </si>
  <si>
    <t>Freight – regularity</t>
  </si>
  <si>
    <t>Canc. trains due to grinding, train type k=3</t>
  </si>
  <si>
    <t>Train type k=2 [select in drop-down list in row below]</t>
  </si>
  <si>
    <t>Freight – network</t>
  </si>
  <si>
    <t>Time cost</t>
  </si>
  <si>
    <t>Time cost of canc. train type k=1</t>
  </si>
  <si>
    <t>SEK/trip</t>
  </si>
  <si>
    <t>Train type k=3 [select in drop-down list in row below]</t>
  </si>
  <si>
    <t>Time cost of canc. train type k=2</t>
  </si>
  <si>
    <t>Freight – over-night</t>
  </si>
  <si>
    <t>Time cost of canc. train type k=3</t>
  </si>
  <si>
    <t>GLOBAL INPUTS</t>
  </si>
  <si>
    <t>Distance cost</t>
  </si>
  <si>
    <t>Distance cost of canc. train type k=1</t>
  </si>
  <si>
    <t>Social discount rate</t>
  </si>
  <si>
    <t>Distance cost of canc. train type k=2</t>
  </si>
  <si>
    <t>Distance cost of canc. train type k=3</t>
  </si>
  <si>
    <t>References</t>
  </si>
  <si>
    <t>Total cancellation cost</t>
  </si>
  <si>
    <t>train type k=1</t>
  </si>
  <si>
    <t>SEK/year</t>
  </si>
  <si>
    <t xml:space="preserve">[1] S. H-Nia, V. V. Krishna, K. Odolinski, P.T. Torstensson, L. Sundholm, P-O. Larsson Kråik, S. Stichel. Simulation-based evaluation of maintenance strategies from a life cycle cost perspective. </t>
  </si>
  <si>
    <t>train type k=2</t>
  </si>
  <si>
    <t xml:space="preserve">[2] Trafikverket, 2022. Network Statement 2023, Edition 2022-05-06, For deliveries from 2022-12-11 to 2023-12-09. </t>
  </si>
  <si>
    <t>train type k=3</t>
  </si>
  <si>
    <t>[3] Trafikverket 2020. Analysmetod och samhällsekonomiska kalkylvärden för transportsektorn: ASEK 7.0. bilaga-aseks-kalkylvarden-7.0_200623_201204.xlsx</t>
  </si>
  <si>
    <t>Cancellation cost per hour</t>
  </si>
  <si>
    <t>Cost track possession time, train type k=1</t>
  </si>
  <si>
    <t>SEK/hour</t>
  </si>
  <si>
    <t>PO / TRAFIKVERKET ? 120 000 SEK/h has been mentioned in a previous meeting (can be inserted in row 63)</t>
  </si>
  <si>
    <t>Cost track possession time, train type k=2</t>
  </si>
  <si>
    <t>Cost track possession time, train type k=3</t>
  </si>
  <si>
    <t>ALT. USER INPUT on cancellation cost</t>
  </si>
  <si>
    <t>Total cancellation cost from user input</t>
  </si>
  <si>
    <t>EXTERNALITIES</t>
  </si>
  <si>
    <t>Noise</t>
  </si>
  <si>
    <t>[No or minimal cost for this case study. To be developed in future version]</t>
  </si>
  <si>
    <t>Train delays</t>
  </si>
  <si>
    <t>Risk of train delays</t>
  </si>
  <si>
    <t>[No or minimal cost for this case study. To be developed in future version. See e.g. approach in Ait-Ali and Lidén 2021, and in G. Chattopadhyay, V. Reddy, P.-O. Larsson-Kråik, Decision on economical rail grinding interval for controlling rolling contact fatigue. Intl. Trans. in Op. Res., 2005, Vol 12 issue 6, pp. 545–558.]</t>
  </si>
  <si>
    <t>Cost parameters for the following effects calculated per train</t>
  </si>
  <si>
    <t>Parameters for exclusion of train path</t>
  </si>
  <si>
    <t>Priority category</t>
  </si>
  <si>
    <t>Transport time</t>
  </si>
  <si>
    <t>Transport distance</t>
  </si>
  <si>
    <t>Displaced path time</t>
  </si>
  <si>
    <t>Excluded train path</t>
  </si>
  <si>
    <t>Benefit limit for train path</t>
  </si>
  <si>
    <t>Corr. factor basic time</t>
  </si>
  <si>
    <t>Running time template</t>
  </si>
  <si>
    <t>Code</t>
  </si>
  <si>
    <t>SEK/min</t>
  </si>
  <si>
    <t>SEK/km</t>
  </si>
  <si>
    <t>%</t>
  </si>
  <si>
    <t>A</t>
  </si>
  <si>
    <t>Train type, name</t>
  </si>
  <si>
    <t>B</t>
  </si>
  <si>
    <t>C</t>
  </si>
  <si>
    <t>D</t>
  </si>
  <si>
    <t>I</t>
  </si>
  <si>
    <t>J</t>
  </si>
  <si>
    <t>K</t>
  </si>
  <si>
    <t>L</t>
  </si>
  <si>
    <t>EL</t>
  </si>
  <si>
    <t>Running light</t>
  </si>
  <si>
    <t>-</t>
  </si>
  <si>
    <t>ellok120</t>
  </si>
  <si>
    <t>FX</t>
  </si>
  <si>
    <t>Distant – express</t>
  </si>
  <si>
    <t>PX2-2000</t>
  </si>
  <si>
    <t>FL</t>
  </si>
  <si>
    <t>Distant – low</t>
  </si>
  <si>
    <t>PR600416</t>
  </si>
  <si>
    <t>FI</t>
  </si>
  <si>
    <t>Distant – mini</t>
  </si>
  <si>
    <t>PX620018</t>
  </si>
  <si>
    <t>FS</t>
  </si>
  <si>
    <t>Distant – standard</t>
  </si>
  <si>
    <t>PR600616</t>
  </si>
  <si>
    <t>GF</t>
  </si>
  <si>
    <t>Freight – flexibility</t>
  </si>
  <si>
    <t>GR401410</t>
  </si>
  <si>
    <t>GN</t>
  </si>
  <si>
    <t>GR401409</t>
  </si>
  <si>
    <t>GO</t>
  </si>
  <si>
    <t>Freight – unsspec.</t>
  </si>
  <si>
    <t>60 km/h</t>
  </si>
  <si>
    <t>GR</t>
  </si>
  <si>
    <t>GB200710</t>
  </si>
  <si>
    <t>GS</t>
  </si>
  <si>
    <t>Freight – fast</t>
  </si>
  <si>
    <t>GB201211</t>
  </si>
  <si>
    <t>GT</t>
  </si>
  <si>
    <t>PO</t>
  </si>
  <si>
    <t>Passanger train – unsspec.</t>
  </si>
  <si>
    <t>RL</t>
  </si>
  <si>
    <t>Regional – low</t>
  </si>
  <si>
    <t>PX510018</t>
  </si>
  <si>
    <t>RX</t>
  </si>
  <si>
    <t>Regional – max</t>
  </si>
  <si>
    <t>PX410020</t>
  </si>
  <si>
    <t>RI</t>
  </si>
  <si>
    <t>Regional – mini</t>
  </si>
  <si>
    <t>PY310014</t>
  </si>
  <si>
    <t>RP</t>
  </si>
  <si>
    <t>Regional – commuter</t>
  </si>
  <si>
    <t>PX600616</t>
  </si>
  <si>
    <t>RS</t>
  </si>
  <si>
    <t>Regional – standard</t>
  </si>
  <si>
    <t>PX610016</t>
  </si>
  <si>
    <t>SP</t>
  </si>
  <si>
    <t>Large commuter</t>
  </si>
  <si>
    <t>TT</t>
  </si>
  <si>
    <t>Empty traffic</t>
  </si>
  <si>
    <t xml:space="preserve">Source: Trafikverket, 2022. Table 5.1 Appendix 4B in Network Statement 2023, Edition 2022-05-06, For deliveries from 2022-12-11 to 2023-12-09. </t>
  </si>
  <si>
    <t>Net present value calculation in LCC</t>
  </si>
  <si>
    <t>Example calculation</t>
  </si>
  <si>
    <t xml:space="preserve">Costs (C) and benefits (B) that arise in different time periods (t=1,…,T) during the asset's life time need </t>
  </si>
  <si>
    <t>r</t>
  </si>
  <si>
    <t>t</t>
  </si>
  <si>
    <t>Rt</t>
  </si>
  <si>
    <t>Discounted Rt</t>
  </si>
  <si>
    <t>NPV</t>
  </si>
  <si>
    <t>NPV of annuities</t>
  </si>
  <si>
    <t>to be expressed in a net present value (NPV) in order to be comparable, i.e. to calculate and compare LCCs</t>
  </si>
  <si>
    <t>Net value Rt = Ct - Bt</t>
  </si>
  <si>
    <t>r = discount rate</t>
  </si>
  <si>
    <t>NPV = sum of Rt*(1+r)^-t</t>
  </si>
  <si>
    <t>note that this includes an investment in timeperiod t=0</t>
  </si>
  <si>
    <t>If we want to express this in annuities (i.e. the total NPV is spread out evenly over the life cycle):</t>
  </si>
  <si>
    <t>Annuity = ((1+r)^rT)/((1+r)^T-1)</t>
  </si>
  <si>
    <t>Note that NPV of annuity stream = Annuity*((1-(1+r)^-T))/r = NPV</t>
  </si>
  <si>
    <t>Traffic disturbance cost calculation</t>
  </si>
  <si>
    <t>B is a time cost parameter for excluding train path of type k.</t>
  </si>
  <si>
    <t>C is a distance cost parameter for excluding train path of type k.</t>
  </si>
  <si>
    <t>K is a percentage parameter indicating a correction factor required to add time due to applied-for stops.</t>
  </si>
  <si>
    <t>J is a ("benefit limit") percentage parameter. This percentage indicates a benefit limit which, when multiplied by the train's transport time, generates the total disturbance allowed before the train path no longer has a commercial value.</t>
  </si>
  <si>
    <t xml:space="preserve">Source: Trafikverket, 2022. Appendix 4B in Network Statement 2023, Edition 2022-05-06, For deliveries from 2022-12-11 to 2023-12-09. </t>
  </si>
  <si>
    <t>Category</t>
  </si>
  <si>
    <t>Variable</t>
  </si>
  <si>
    <t>Unit</t>
  </si>
  <si>
    <t>Grinding cost</t>
  </si>
  <si>
    <t>Renewal rail (material)</t>
  </si>
  <si>
    <t>LCC Evaluation Model 0.1</t>
  </si>
  <si>
    <t>VALUE</t>
  </si>
  <si>
    <t>ASEK 8.0</t>
  </si>
  <si>
    <t>BIS</t>
  </si>
  <si>
    <t>X</t>
  </si>
  <si>
    <t>Current strategy</t>
  </si>
  <si>
    <t>Track possession time, gauge correction</t>
  </si>
  <si>
    <t>hours/activity</t>
  </si>
  <si>
    <t>PO / TRAFIKVERKET ? 5 000 somewhere else?</t>
  </si>
  <si>
    <t>Ekonomisk livslängd för reinvesteringar - räl -i 2019 års penningvärde</t>
  </si>
  <si>
    <t>Tabell 6.15. Schablonkostnader för underhåll och investering på järnväg i 2019 års penningvärde</t>
  </si>
  <si>
    <t>50 somewhere else?</t>
  </si>
  <si>
    <t>Gauge correction</t>
  </si>
  <si>
    <t>Based on calculations using priority criteria cancellation values</t>
  </si>
  <si>
    <t>Kommentarer</t>
  </si>
  <si>
    <t>Bara för referens, dvs. jämförelse alternativ</t>
  </si>
  <si>
    <t>Se LCA!</t>
  </si>
  <si>
    <t>[20 trains per day], alternativ hämta nya uppgifter om nuvarande/prognos tidtabell (från sampers/samgods)!</t>
  </si>
  <si>
    <t>Hämtas från BIS för bandelar som KTH simulerar!</t>
  </si>
  <si>
    <t>Nya uppgifter kan hämtas från BIS för bandelar som KTH simulerar!</t>
  </si>
  <si>
    <t>Nya uppgifter kan hämtas från BanSEK för bandelar som KTH simulerar!</t>
  </si>
  <si>
    <t>Comments</t>
  </si>
  <si>
    <t>Klimatkalkyl</t>
  </si>
  <si>
    <t>Quantity</t>
  </si>
  <si>
    <t>Energy (GJ)</t>
  </si>
  <si>
    <t>Rail 60E1</t>
  </si>
  <si>
    <t>Valuation Co2e ( SEK/kg)</t>
  </si>
  <si>
    <t>m</t>
  </si>
  <si>
    <t>Component / Activity</t>
  </si>
  <si>
    <t>Track superstructure, single track ballast</t>
  </si>
  <si>
    <t>Total (O&amp;M per year)</t>
  </si>
  <si>
    <t>Adjusted total (excl. TGM production and transport)</t>
  </si>
  <si>
    <t>Phase</t>
  </si>
  <si>
    <t>Construction Phase</t>
  </si>
  <si>
    <t>Reinvestment / year</t>
  </si>
  <si>
    <t>Operation &amp; Maintenance / year</t>
  </si>
  <si>
    <t>All components</t>
  </si>
  <si>
    <t>Emission factor (kg Co2e/GJ)</t>
  </si>
  <si>
    <t>Data source</t>
  </si>
  <si>
    <t>Klimatkalkyl; ASEK 8.0</t>
  </si>
  <si>
    <t>Emissions occuring in 2025, expressed in 2019 price level</t>
  </si>
  <si>
    <t xml:space="preserve">Overall: LCA for single track UIC60 </t>
  </si>
  <si>
    <t>Finns prisbana näst sista fliken</t>
  </si>
  <si>
    <t>Disposal of Rail</t>
  </si>
  <si>
    <t xml:space="preserve">Recycling of rail </t>
  </si>
  <si>
    <t xml:space="preserve">Reuse of rail </t>
  </si>
  <si>
    <t>Total (Reinvestment per year)</t>
  </si>
  <si>
    <t>Verkar vara olika energikällor i byggnadsfasen. I huvudsak el men transporter till byggnadsplatsen kan ske med dieseldrivna fordon…</t>
  </si>
  <si>
    <t>End of life/Renewal</t>
  </si>
  <si>
    <t>not. Alla värden är i 2019 års</t>
  </si>
  <si>
    <t xml:space="preserve">Circularity coefficient </t>
  </si>
  <si>
    <t xml:space="preserve">Share of electricity </t>
  </si>
  <si>
    <t>Share of diesel</t>
  </si>
  <si>
    <t>Emissionfactor</t>
  </si>
  <si>
    <t>Energy source (share of electricity)</t>
  </si>
  <si>
    <t>1-a</t>
  </si>
  <si>
    <t>Track superstructure</t>
  </si>
  <si>
    <t>Rail</t>
  </si>
  <si>
    <t>Circularity coefficient</t>
  </si>
  <si>
    <t>% recycling</t>
  </si>
  <si>
    <t>Energy -&gt; CO2e (kg)</t>
  </si>
  <si>
    <t>Social costs (SEK/1000m)</t>
  </si>
  <si>
    <t>CO2e (kg)</t>
  </si>
  <si>
    <t>Emissionsfaktor</t>
  </si>
  <si>
    <t>Tidsrelaterad täckning</t>
  </si>
  <si>
    <t>Värde</t>
  </si>
  <si>
    <t>Enhet</t>
  </si>
  <si>
    <t>Värde 2</t>
  </si>
  <si>
    <t>Enhet 2</t>
  </si>
  <si>
    <t>Diesel (MK 1)</t>
  </si>
  <si>
    <t>MJ/kg</t>
  </si>
  <si>
    <t>kgCO2e/kg</t>
  </si>
  <si>
    <t>kgCO2e/kWh</t>
  </si>
  <si>
    <t>El (Svensk elmix)</t>
  </si>
  <si>
    <t>MJ/kWh</t>
  </si>
  <si>
    <t>Co2e/GJ</t>
  </si>
  <si>
    <t>Referens</t>
  </si>
  <si>
    <t>Trafikverket, bilaga 1 effektsamband</t>
  </si>
  <si>
    <t>CO2_Valuation (kr/kg Co2e)</t>
  </si>
  <si>
    <t>Recycling Track superstructure</t>
  </si>
  <si>
    <t>Social costs, Reinvestment / year (SEK/m)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</si>
</sst>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kr&quot;;[Red]\-#,##0.00\ &quot;kr&quot;"/>
    <numFmt numFmtId="43" formatCode="_-* #,##0.00_-;\-* #,##0.00_-;_-* &quot;-&quot;??_-;_-@_-"/>
    <numFmt numFmtId="164" formatCode="0.000"/>
    <numFmt numFmtId="165" formatCode="0.0"/>
    <numFmt numFmtId="166" formatCode="0.00000"/>
    <numFmt numFmtId="167" formatCode="_-* #,##0_-;\-* #,##0_-;_-* &quot;-&quot;??_-;_-@_-"/>
  </numFmts>
  <fonts count="5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i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u/>
      <sz val="11"/>
      <color theme="9" tint="-0.249977111117893"/>
      <name val="Calibri"/>
      <family val="2"/>
      <scheme val="minor"/>
    </font>
    <font>
      <i/>
      <sz val="11"/>
      <color theme="9" tint="-0.249977111117893"/>
      <name val="Calibri"/>
      <family val="2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u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i/>
      <u/>
      <sz val="11"/>
      <color theme="0" tint="-0.34998626667073579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/>
      <bottom style="thin">
        <color theme="2" tint="-0.249977111117893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/>
    <xf numFmtId="43" fontId="53" fillId="0" borderId="0" applyFont="0" applyFill="0" applyBorder="0" applyAlignment="0" applyProtection="0"/>
    <xf numFmtId="9" fontId="53" fillId="0" borderId="0" applyFont="0" applyFill="0" applyBorder="0" applyAlignment="0" applyProtection="0"/>
  </cellStyleXfs>
  <cellXfs count="25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3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4" xfId="0" applyFont="1" applyFill="1" applyBorder="1"/>
    <xf numFmtId="2" fontId="0" fillId="0" borderId="0" xfId="0" applyNumberFormat="1" applyAlignment="1">
      <alignment horizontal="center"/>
    </xf>
    <xf numFmtId="0" fontId="0" fillId="5" borderId="0" xfId="0" applyFill="1"/>
    <xf numFmtId="0" fontId="2" fillId="6" borderId="1" xfId="0" applyFon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/>
    <xf numFmtId="0" fontId="0" fillId="6" borderId="5" xfId="0" applyFill="1" applyBorder="1"/>
    <xf numFmtId="0" fontId="2" fillId="6" borderId="4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65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165" fontId="0" fillId="6" borderId="5" xfId="0" applyNumberFormat="1" applyFill="1" applyBorder="1" applyAlignment="1">
      <alignment horizontal="center"/>
    </xf>
    <xf numFmtId="165" fontId="2" fillId="6" borderId="0" xfId="0" applyNumberFormat="1" applyFont="1" applyFill="1" applyAlignment="1">
      <alignment horizontal="center"/>
    </xf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2" fillId="5" borderId="0" xfId="0" applyFont="1" applyFill="1"/>
    <xf numFmtId="0" fontId="10" fillId="5" borderId="0" xfId="0" applyFont="1" applyFill="1"/>
    <xf numFmtId="0" fontId="11" fillId="5" borderId="0" xfId="0" applyFont="1" applyFill="1"/>
    <xf numFmtId="0" fontId="5" fillId="2" borderId="0" xfId="0" applyFont="1" applyFill="1"/>
    <xf numFmtId="0" fontId="12" fillId="0" borderId="0" xfId="0" applyFont="1"/>
    <xf numFmtId="0" fontId="13" fillId="5" borderId="0" xfId="0" applyFont="1" applyFill="1"/>
    <xf numFmtId="1" fontId="0" fillId="12" borderId="0" xfId="0" applyNumberFormat="1" applyFill="1" applyAlignment="1">
      <alignment horizontal="center"/>
    </xf>
    <xf numFmtId="1" fontId="0" fillId="11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/>
    </xf>
    <xf numFmtId="0" fontId="0" fillId="5" borderId="12" xfId="0" applyFill="1" applyBorder="1"/>
    <xf numFmtId="0" fontId="17" fillId="5" borderId="0" xfId="0" applyFont="1" applyFill="1"/>
    <xf numFmtId="0" fontId="0" fillId="5" borderId="13" xfId="0" applyFill="1" applyBorder="1"/>
    <xf numFmtId="0" fontId="3" fillId="5" borderId="0" xfId="0" applyFont="1" applyFill="1"/>
    <xf numFmtId="0" fontId="12" fillId="5" borderId="0" xfId="0" applyFont="1" applyFill="1"/>
    <xf numFmtId="0" fontId="0" fillId="5" borderId="0" xfId="0" applyFill="1" applyAlignment="1">
      <alignment horizontal="left"/>
    </xf>
    <xf numFmtId="1" fontId="2" fillId="10" borderId="11" xfId="0" applyNumberFormat="1" applyFont="1" applyFill="1" applyBorder="1" applyAlignment="1">
      <alignment horizontal="center"/>
    </xf>
    <xf numFmtId="1" fontId="2" fillId="11" borderId="11" xfId="0" applyNumberFormat="1" applyFont="1" applyFill="1" applyBorder="1" applyAlignment="1">
      <alignment horizontal="center"/>
    </xf>
    <xf numFmtId="1" fontId="2" fillId="12" borderId="11" xfId="0" applyNumberFormat="1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5" borderId="17" xfId="0" applyFill="1" applyBorder="1"/>
    <xf numFmtId="0" fontId="1" fillId="5" borderId="0" xfId="0" applyFont="1" applyFill="1"/>
    <xf numFmtId="0" fontId="3" fillId="5" borderId="0" xfId="0" applyFont="1" applyFill="1" applyAlignment="1">
      <alignment horizontal="left"/>
    </xf>
    <xf numFmtId="0" fontId="0" fillId="5" borderId="18" xfId="0" applyFill="1" applyBorder="1"/>
    <xf numFmtId="0" fontId="3" fillId="5" borderId="0" xfId="0" applyFont="1" applyFill="1" applyAlignment="1">
      <alignment wrapText="1"/>
    </xf>
    <xf numFmtId="0" fontId="0" fillId="5" borderId="19" xfId="0" applyFill="1" applyBorder="1"/>
    <xf numFmtId="0" fontId="22" fillId="0" borderId="0" xfId="0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1" fontId="23" fillId="0" borderId="0" xfId="0" applyNumberFormat="1" applyFont="1" applyAlignment="1">
      <alignment horizontal="center"/>
    </xf>
    <xf numFmtId="1" fontId="23" fillId="0" borderId="0" xfId="0" applyNumberFormat="1" applyFont="1"/>
    <xf numFmtId="1" fontId="23" fillId="0" borderId="22" xfId="0" applyNumberFormat="1" applyFont="1" applyBorder="1" applyAlignment="1">
      <alignment horizontal="center"/>
    </xf>
    <xf numFmtId="1" fontId="23" fillId="0" borderId="23" xfId="0" applyNumberFormat="1" applyFont="1" applyBorder="1" applyAlignment="1">
      <alignment horizontal="center"/>
    </xf>
    <xf numFmtId="1" fontId="23" fillId="0" borderId="24" xfId="0" applyNumberFormat="1" applyFont="1" applyBorder="1" applyAlignment="1">
      <alignment horizontal="center"/>
    </xf>
    <xf numFmtId="1" fontId="23" fillId="0" borderId="17" xfId="0" applyNumberFormat="1" applyFont="1" applyBorder="1" applyAlignment="1">
      <alignment horizontal="center"/>
    </xf>
    <xf numFmtId="1" fontId="23" fillId="0" borderId="21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/>
    </xf>
    <xf numFmtId="1" fontId="23" fillId="0" borderId="19" xfId="0" applyNumberFormat="1" applyFont="1" applyBorder="1" applyAlignment="1">
      <alignment horizontal="center"/>
    </xf>
    <xf numFmtId="1" fontId="23" fillId="0" borderId="20" xfId="0" applyNumberFormat="1" applyFont="1" applyBorder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1" fontId="0" fillId="5" borderId="0" xfId="0" applyNumberFormat="1" applyFill="1" applyAlignment="1">
      <alignment horizontal="center"/>
    </xf>
    <xf numFmtId="8" fontId="0" fillId="5" borderId="0" xfId="0" applyNumberFormat="1" applyFill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 vertical="center"/>
    </xf>
    <xf numFmtId="165" fontId="5" fillId="5" borderId="0" xfId="0" applyNumberFormat="1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1" fontId="7" fillId="10" borderId="0" xfId="0" applyNumberFormat="1" applyFont="1" applyFill="1" applyAlignment="1">
      <alignment horizontal="center"/>
    </xf>
    <xf numFmtId="1" fontId="7" fillId="11" borderId="0" xfId="0" applyNumberFormat="1" applyFont="1" applyFill="1" applyAlignment="1">
      <alignment horizontal="center"/>
    </xf>
    <xf numFmtId="1" fontId="7" fillId="12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23" fillId="0" borderId="16" xfId="0" applyFont="1" applyBorder="1" applyAlignment="1">
      <alignment horizontal="center"/>
    </xf>
    <xf numFmtId="1" fontId="23" fillId="0" borderId="25" xfId="0" applyNumberFormat="1" applyFont="1" applyBorder="1" applyAlignment="1">
      <alignment horizontal="center"/>
    </xf>
    <xf numFmtId="1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23" fillId="0" borderId="16" xfId="0" applyFont="1" applyBorder="1"/>
    <xf numFmtId="0" fontId="24" fillId="0" borderId="15" xfId="0" applyFont="1" applyBorder="1" applyAlignment="1">
      <alignment horizontal="center"/>
    </xf>
    <xf numFmtId="0" fontId="7" fillId="5" borderId="0" xfId="0" applyFont="1" applyFill="1" applyAlignment="1">
      <alignment horizontal="left"/>
    </xf>
    <xf numFmtId="1" fontId="25" fillId="5" borderId="0" xfId="0" applyNumberFormat="1" applyFont="1" applyFill="1"/>
    <xf numFmtId="164" fontId="13" fillId="5" borderId="0" xfId="0" applyNumberFormat="1" applyFont="1" applyFill="1"/>
    <xf numFmtId="164" fontId="25" fillId="5" borderId="0" xfId="0" applyNumberFormat="1" applyFont="1" applyFill="1"/>
    <xf numFmtId="0" fontId="26" fillId="5" borderId="0" xfId="0" applyFont="1" applyFill="1" applyAlignment="1">
      <alignment horizontal="left"/>
    </xf>
    <xf numFmtId="0" fontId="0" fillId="5" borderId="0" xfId="0" applyFill="1" applyAlignment="1">
      <alignment horizontal="left" vertical="center"/>
    </xf>
    <xf numFmtId="0" fontId="27" fillId="5" borderId="0" xfId="0" applyFont="1" applyFill="1"/>
    <xf numFmtId="0" fontId="3" fillId="7" borderId="26" xfId="0" applyFont="1" applyFill="1" applyBorder="1"/>
    <xf numFmtId="0" fontId="3" fillId="8" borderId="26" xfId="0" applyFont="1" applyFill="1" applyBorder="1"/>
    <xf numFmtId="0" fontId="3" fillId="9" borderId="26" xfId="0" applyFont="1" applyFill="1" applyBorder="1"/>
    <xf numFmtId="0" fontId="21" fillId="5" borderId="12" xfId="0" applyFont="1" applyFill="1" applyBorder="1"/>
    <xf numFmtId="0" fontId="20" fillId="5" borderId="0" xfId="0" applyFont="1" applyFill="1"/>
    <xf numFmtId="0" fontId="28" fillId="5" borderId="0" xfId="0" applyFont="1" applyFill="1"/>
    <xf numFmtId="0" fontId="29" fillId="5" borderId="0" xfId="0" applyFont="1" applyFill="1" applyAlignment="1">
      <alignment horizontal="left"/>
    </xf>
    <xf numFmtId="0" fontId="30" fillId="2" borderId="0" xfId="0" applyFont="1" applyFill="1"/>
    <xf numFmtId="0" fontId="30" fillId="5" borderId="17" xfId="0" applyFont="1" applyFill="1" applyBorder="1" applyAlignment="1">
      <alignment horizontal="center"/>
    </xf>
    <xf numFmtId="0" fontId="0" fillId="5" borderId="17" xfId="0" applyFill="1" applyBorder="1" applyAlignment="1">
      <alignment horizontal="left"/>
    </xf>
    <xf numFmtId="0" fontId="7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 vertical="center"/>
    </xf>
    <xf numFmtId="0" fontId="9" fillId="5" borderId="0" xfId="0" applyFont="1" applyFill="1"/>
    <xf numFmtId="0" fontId="9" fillId="5" borderId="19" xfId="0" applyFont="1" applyFill="1" applyBorder="1"/>
    <xf numFmtId="0" fontId="9" fillId="5" borderId="21" xfId="0" applyFont="1" applyFill="1" applyBorder="1"/>
    <xf numFmtId="0" fontId="34" fillId="5" borderId="21" xfId="0" applyFont="1" applyFill="1" applyBorder="1" applyAlignment="1">
      <alignment horizontal="center"/>
    </xf>
    <xf numFmtId="1" fontId="9" fillId="5" borderId="21" xfId="0" applyNumberFormat="1" applyFont="1" applyFill="1" applyBorder="1" applyAlignment="1">
      <alignment horizontal="center"/>
    </xf>
    <xf numFmtId="1" fontId="8" fillId="5" borderId="21" xfId="0" applyNumberFormat="1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165" fontId="9" fillId="5" borderId="21" xfId="0" applyNumberFormat="1" applyFont="1" applyFill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25" xfId="0" applyBorder="1"/>
    <xf numFmtId="0" fontId="24" fillId="5" borderId="0" xfId="0" applyFont="1" applyFill="1" applyAlignment="1">
      <alignment horizontal="center"/>
    </xf>
    <xf numFmtId="1" fontId="24" fillId="10" borderId="11" xfId="0" applyNumberFormat="1" applyFont="1" applyFill="1" applyBorder="1" applyAlignment="1">
      <alignment horizontal="center"/>
    </xf>
    <xf numFmtId="1" fontId="24" fillId="11" borderId="11" xfId="0" applyNumberFormat="1" applyFont="1" applyFill="1" applyBorder="1" applyAlignment="1">
      <alignment horizontal="center"/>
    </xf>
    <xf numFmtId="1" fontId="24" fillId="12" borderId="11" xfId="0" applyNumberFormat="1" applyFont="1" applyFill="1" applyBorder="1" applyAlignment="1">
      <alignment horizontal="center"/>
    </xf>
    <xf numFmtId="0" fontId="32" fillId="5" borderId="0" xfId="0" applyFont="1" applyFill="1" applyAlignment="1">
      <alignment horizontal="center"/>
    </xf>
    <xf numFmtId="1" fontId="32" fillId="10" borderId="11" xfId="0" applyNumberFormat="1" applyFont="1" applyFill="1" applyBorder="1" applyAlignment="1">
      <alignment horizontal="center"/>
    </xf>
    <xf numFmtId="1" fontId="32" fillId="11" borderId="11" xfId="0" applyNumberFormat="1" applyFont="1" applyFill="1" applyBorder="1" applyAlignment="1">
      <alignment horizontal="center"/>
    </xf>
    <xf numFmtId="1" fontId="32" fillId="12" borderId="11" xfId="0" applyNumberFormat="1" applyFont="1" applyFill="1" applyBorder="1" applyAlignment="1">
      <alignment horizontal="center"/>
    </xf>
    <xf numFmtId="0" fontId="23" fillId="5" borderId="0" xfId="0" applyFont="1" applyFill="1" applyAlignment="1">
      <alignment horizontal="center"/>
    </xf>
    <xf numFmtId="1" fontId="23" fillId="10" borderId="9" xfId="0" applyNumberFormat="1" applyFont="1" applyFill="1" applyBorder="1" applyAlignment="1">
      <alignment horizontal="center"/>
    </xf>
    <xf numFmtId="1" fontId="23" fillId="11" borderId="9" xfId="0" applyNumberFormat="1" applyFont="1" applyFill="1" applyBorder="1" applyAlignment="1">
      <alignment horizontal="center"/>
    </xf>
    <xf numFmtId="1" fontId="23" fillId="12" borderId="9" xfId="0" applyNumberFormat="1" applyFont="1" applyFill="1" applyBorder="1" applyAlignment="1">
      <alignment horizontal="center"/>
    </xf>
    <xf numFmtId="1" fontId="23" fillId="10" borderId="10" xfId="0" applyNumberFormat="1" applyFont="1" applyFill="1" applyBorder="1" applyAlignment="1">
      <alignment horizontal="center"/>
    </xf>
    <xf numFmtId="1" fontId="23" fillId="11" borderId="10" xfId="0" applyNumberFormat="1" applyFont="1" applyFill="1" applyBorder="1" applyAlignment="1">
      <alignment horizontal="center"/>
    </xf>
    <xf numFmtId="1" fontId="23" fillId="12" borderId="10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9" fillId="5" borderId="0" xfId="0" applyFont="1" applyFill="1"/>
    <xf numFmtId="1" fontId="5" fillId="10" borderId="0" xfId="0" applyNumberFormat="1" applyFont="1" applyFill="1" applyAlignment="1">
      <alignment horizontal="center"/>
    </xf>
    <xf numFmtId="1" fontId="5" fillId="11" borderId="0" xfId="0" applyNumberFormat="1" applyFont="1" applyFill="1" applyAlignment="1">
      <alignment horizontal="center"/>
    </xf>
    <xf numFmtId="1" fontId="5" fillId="12" borderId="0" xfId="0" applyNumberFormat="1" applyFont="1" applyFill="1" applyAlignment="1">
      <alignment horizontal="center"/>
    </xf>
    <xf numFmtId="1" fontId="36" fillId="5" borderId="0" xfId="0" applyNumberFormat="1" applyFont="1" applyFill="1"/>
    <xf numFmtId="0" fontId="5" fillId="10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36" fillId="5" borderId="0" xfId="0" applyFont="1" applyFill="1" applyAlignment="1">
      <alignment horizontal="left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164" fontId="36" fillId="5" borderId="0" xfId="0" applyNumberFormat="1" applyFont="1" applyFill="1"/>
    <xf numFmtId="164" fontId="5" fillId="10" borderId="0" xfId="0" applyNumberFormat="1" applyFont="1" applyFill="1" applyAlignment="1">
      <alignment horizontal="center"/>
    </xf>
    <xf numFmtId="164" fontId="5" fillId="11" borderId="0" xfId="0" applyNumberFormat="1" applyFont="1" applyFill="1" applyAlignment="1">
      <alignment horizontal="center"/>
    </xf>
    <xf numFmtId="164" fontId="5" fillId="12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37" fillId="5" borderId="0" xfId="0" applyFont="1" applyFill="1"/>
    <xf numFmtId="0" fontId="40" fillId="5" borderId="0" xfId="0" applyFont="1" applyFill="1"/>
    <xf numFmtId="0" fontId="5" fillId="5" borderId="0" xfId="0" applyFont="1" applyFill="1"/>
    <xf numFmtId="0" fontId="43" fillId="5" borderId="0" xfId="0" applyFont="1" applyFill="1"/>
    <xf numFmtId="0" fontId="44" fillId="5" borderId="0" xfId="0" applyFont="1" applyFill="1"/>
    <xf numFmtId="0" fontId="44" fillId="5" borderId="14" xfId="0" applyFont="1" applyFill="1" applyBorder="1"/>
    <xf numFmtId="2" fontId="44" fillId="10" borderId="0" xfId="0" applyNumberFormat="1" applyFont="1" applyFill="1" applyAlignment="1">
      <alignment horizontal="center"/>
    </xf>
    <xf numFmtId="2" fontId="44" fillId="11" borderId="0" xfId="0" applyNumberFormat="1" applyFont="1" applyFill="1" applyAlignment="1">
      <alignment horizontal="center"/>
    </xf>
    <xf numFmtId="2" fontId="44" fillId="12" borderId="0" xfId="0" applyNumberFormat="1" applyFont="1" applyFill="1" applyAlignment="1">
      <alignment horizontal="center"/>
    </xf>
    <xf numFmtId="164" fontId="45" fillId="5" borderId="0" xfId="0" applyNumberFormat="1" applyFont="1" applyFill="1"/>
    <xf numFmtId="165" fontId="44" fillId="10" borderId="0" xfId="0" applyNumberFormat="1" applyFont="1" applyFill="1" applyAlignment="1">
      <alignment horizontal="center"/>
    </xf>
    <xf numFmtId="165" fontId="44" fillId="11" borderId="0" xfId="0" applyNumberFormat="1" applyFont="1" applyFill="1" applyAlignment="1">
      <alignment horizontal="center"/>
    </xf>
    <xf numFmtId="165" fontId="44" fillId="12" borderId="0" xfId="0" applyNumberFormat="1" applyFont="1" applyFill="1" applyAlignment="1">
      <alignment horizontal="center"/>
    </xf>
    <xf numFmtId="0" fontId="44" fillId="10" borderId="0" xfId="0" applyFont="1" applyFill="1" applyAlignment="1">
      <alignment horizontal="center"/>
    </xf>
    <xf numFmtId="0" fontId="44" fillId="11" borderId="0" xfId="0" applyFont="1" applyFill="1" applyAlignment="1">
      <alignment horizontal="center"/>
    </xf>
    <xf numFmtId="0" fontId="44" fillId="12" borderId="0" xfId="0" applyFont="1" applyFill="1" applyAlignment="1">
      <alignment horizontal="center"/>
    </xf>
    <xf numFmtId="1" fontId="44" fillId="10" borderId="0" xfId="0" applyNumberFormat="1" applyFont="1" applyFill="1" applyAlignment="1">
      <alignment horizontal="center"/>
    </xf>
    <xf numFmtId="1" fontId="44" fillId="11" borderId="0" xfId="0" applyNumberFormat="1" applyFont="1" applyFill="1" applyAlignment="1">
      <alignment horizontal="center"/>
    </xf>
    <xf numFmtId="1" fontId="44" fillId="12" borderId="0" xfId="0" applyNumberFormat="1" applyFont="1" applyFill="1" applyAlignment="1">
      <alignment horizontal="center"/>
    </xf>
    <xf numFmtId="0" fontId="47" fillId="5" borderId="0" xfId="0" applyFont="1" applyFill="1"/>
    <xf numFmtId="0" fontId="44" fillId="0" borderId="0" xfId="0" applyFont="1"/>
    <xf numFmtId="0" fontId="33" fillId="5" borderId="0" xfId="0" applyFont="1" applyFill="1"/>
    <xf numFmtId="1" fontId="23" fillId="5" borderId="9" xfId="0" applyNumberFormat="1" applyFont="1" applyFill="1" applyBorder="1" applyAlignment="1">
      <alignment horizontal="center"/>
    </xf>
    <xf numFmtId="0" fontId="23" fillId="5" borderId="0" xfId="0" applyFont="1" applyFill="1"/>
    <xf numFmtId="1" fontId="23" fillId="5" borderId="0" xfId="0" applyNumberFormat="1" applyFont="1" applyFill="1" applyAlignment="1">
      <alignment horizontal="center"/>
    </xf>
    <xf numFmtId="164" fontId="23" fillId="5" borderId="0" xfId="0" applyNumberFormat="1" applyFont="1" applyFill="1" applyAlignment="1">
      <alignment horizontal="center"/>
    </xf>
    <xf numFmtId="0" fontId="49" fillId="5" borderId="0" xfId="0" applyFont="1" applyFill="1"/>
    <xf numFmtId="0" fontId="50" fillId="5" borderId="0" xfId="0" applyFont="1" applyFill="1"/>
    <xf numFmtId="0" fontId="51" fillId="5" borderId="0" xfId="0" applyFont="1" applyFill="1" applyAlignment="1">
      <alignment horizontal="center"/>
    </xf>
    <xf numFmtId="1" fontId="51" fillId="5" borderId="11" xfId="0" applyNumberFormat="1" applyFont="1" applyFill="1" applyBorder="1" applyAlignment="1">
      <alignment horizontal="center"/>
    </xf>
    <xf numFmtId="166" fontId="2" fillId="12" borderId="11" xfId="0" applyNumberFormat="1" applyFont="1" applyFill="1" applyBorder="1" applyAlignment="1">
      <alignment horizontal="center"/>
    </xf>
    <xf numFmtId="0" fontId="50" fillId="5" borderId="0" xfId="0" applyFont="1" applyFill="1" applyAlignment="1">
      <alignment horizontal="left"/>
    </xf>
    <xf numFmtId="0" fontId="16" fillId="5" borderId="0" xfId="0" applyFont="1" applyFill="1"/>
    <xf numFmtId="0" fontId="52" fillId="9" borderId="28" xfId="0" applyFont="1" applyFill="1" applyBorder="1"/>
    <xf numFmtId="0" fontId="52" fillId="8" borderId="28" xfId="0" applyFont="1" applyFill="1" applyBorder="1"/>
    <xf numFmtId="0" fontId="52" fillId="7" borderId="27" xfId="0" applyFont="1" applyFill="1" applyBorder="1"/>
    <xf numFmtId="1" fontId="1" fillId="10" borderId="0" xfId="0" applyNumberFormat="1" applyFont="1" applyFill="1" applyAlignment="1">
      <alignment horizontal="center"/>
    </xf>
    <xf numFmtId="167" fontId="0" fillId="10" borderId="0" xfId="2" applyNumberFormat="1" applyFont="1" applyFill="1" applyAlignment="1">
      <alignment horizontal="center" vertical="center"/>
    </xf>
    <xf numFmtId="0" fontId="14" fillId="5" borderId="30" xfId="0" applyFont="1" applyFill="1" applyBorder="1" applyAlignment="1">
      <alignment vertical="center"/>
    </xf>
    <xf numFmtId="2" fontId="14" fillId="5" borderId="29" xfId="0" applyNumberFormat="1" applyFont="1" applyFill="1" applyBorder="1" applyAlignment="1">
      <alignment vertical="center"/>
    </xf>
    <xf numFmtId="0" fontId="54" fillId="13" borderId="30" xfId="0" applyFont="1" applyFill="1" applyBorder="1" applyAlignment="1">
      <alignment vertical="center"/>
    </xf>
    <xf numFmtId="0" fontId="54" fillId="13" borderId="32" xfId="0" applyFont="1" applyFill="1" applyBorder="1" applyAlignment="1">
      <alignment vertical="center"/>
    </xf>
    <xf numFmtId="0" fontId="54" fillId="13" borderId="33" xfId="0" applyFont="1" applyFill="1" applyBorder="1" applyAlignment="1">
      <alignment vertical="center"/>
    </xf>
    <xf numFmtId="0" fontId="54" fillId="13" borderId="29" xfId="0" applyFont="1" applyFill="1" applyBorder="1" applyAlignment="1">
      <alignment vertical="center"/>
    </xf>
    <xf numFmtId="0" fontId="54" fillId="13" borderId="3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34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left" vertical="top"/>
    </xf>
    <xf numFmtId="0" fontId="24" fillId="0" borderId="0" xfId="0" applyFont="1" applyAlignment="1">
      <alignment horizontal="center"/>
    </xf>
    <xf numFmtId="0" fontId="23" fillId="0" borderId="22" xfId="0" applyFont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23" fillId="0" borderId="24" xfId="0" applyFont="1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4" fillId="0" borderId="2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right"/>
    </xf>
    <xf numFmtId="9" fontId="0" fillId="0" borderId="0" xfId="3" applyFont="1"/>
    <xf numFmtId="0" fontId="0" fillId="14" borderId="0" xfId="0" applyFill="1"/>
    <xf numFmtId="0" fontId="0" fillId="15" borderId="0" xfId="0" applyFill="1"/>
    <xf numFmtId="2" fontId="0" fillId="0" borderId="0" xfId="0" applyNumberFormat="1"/>
  </cellXfs>
  <cellStyles count="4">
    <cellStyle name="Normal" xfId="0" builtinId="0"/>
    <cellStyle name="Normal 2" xfId="1" xr:uid="{71496FFA-0754-4568-9003-6B4FFEFE067B}"/>
    <cellStyle name="Procent" xfId="3" builtinId="5"/>
    <cellStyle name="Tusental" xfId="2" builtinId="3"/>
  </cellStyles>
  <dxfs count="0"/>
  <tableStyles count="0" defaultTableStyle="TableStyleMedium2" defaultPivotStyle="PivotStyleLight16"/>
  <colors>
    <mruColors>
      <color rgb="FFF8DE96"/>
      <color rgb="FFFBEBBD"/>
      <color rgb="FFD2A34E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'LCC calculation'!$L$16</c:f>
              <c:strCache>
                <c:ptCount val="1"/>
                <c:pt idx="0">
                  <c:v>LCC_infra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'LCC calculation'!$M$2:$O$2</c:f>
              <c:strCache>
                <c:ptCount val="3"/>
                <c:pt idx="0">
                  <c:v>STRATEGY 1</c:v>
                </c:pt>
                <c:pt idx="1">
                  <c:v>STRATEGY 2</c:v>
                </c:pt>
                <c:pt idx="2">
                  <c:v>STRATEGY 3</c:v>
                </c:pt>
              </c:strCache>
            </c:strRef>
          </c:cat>
          <c:val>
            <c:numRef>
              <c:f>'LCC calculation'!$M$16:$O$16</c:f>
              <c:numCache>
                <c:formatCode>0</c:formatCode>
                <c:ptCount val="3"/>
                <c:pt idx="0">
                  <c:v>70.972259477261815</c:v>
                </c:pt>
                <c:pt idx="1">
                  <c:v>67.545176652174362</c:v>
                </c:pt>
                <c:pt idx="2">
                  <c:v>78.223305354916164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51C-B048-FBDBD5D0CD17}"/>
            </c:ext>
          </c:extLst>
        </c:ser>
        <c:ser>
          <c:idx val="1"/>
          <c:order val="1"/>
          <c:tx>
            <c:strRef>
              <c:f>'LCC calculation'!$L$17</c:f>
              <c:strCache>
                <c:ptCount val="1"/>
                <c:pt idx="0">
                  <c:v>LCC_train_oper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'LCC calculation'!$M$2:$O$2</c:f>
              <c:strCache>
                <c:ptCount val="3"/>
                <c:pt idx="0">
                  <c:v>STRATEGY 1</c:v>
                </c:pt>
                <c:pt idx="1">
                  <c:v>STRATEGY 2</c:v>
                </c:pt>
                <c:pt idx="2">
                  <c:v>STRATEGY 3</c:v>
                </c:pt>
              </c:strCache>
            </c:strRef>
          </c:cat>
          <c:val>
            <c:numRef>
              <c:f>'LCC calculation'!$M$17:$O$17</c:f>
              <c:numCache>
                <c:formatCode>0</c:formatCode>
                <c:ptCount val="3"/>
                <c:pt idx="0">
                  <c:v>29.027740522738181</c:v>
                </c:pt>
                <c:pt idx="1">
                  <c:v>21.770805392053639</c:v>
                </c:pt>
                <c:pt idx="2">
                  <c:v>21.770805392053639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1-451C-B048-FBDBD5D0CD17}"/>
            </c:ext>
          </c:extLst>
        </c:ser>
        <c:ser>
          <c:idx val="2"/>
          <c:order val="2"/>
          <c:tx>
            <c:strRef>
              <c:f>'LCC calculation'!$L$18</c:f>
              <c:strCache>
                <c:ptCount val="1"/>
                <c:pt idx="0">
                  <c:v>LCC_tot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'LCC calculation'!$M$2:$O$2</c:f>
              <c:strCache>
                <c:ptCount val="3"/>
                <c:pt idx="0">
                  <c:v>STRATEGY 1</c:v>
                </c:pt>
                <c:pt idx="1">
                  <c:v>STRATEGY 2</c:v>
                </c:pt>
                <c:pt idx="2">
                  <c:v>STRATEGY 3</c:v>
                </c:pt>
              </c:strCache>
            </c:strRef>
          </c:cat>
          <c:val>
            <c:numRef>
              <c:f>'LCC calculation'!$M$18:$O$18</c:f>
              <c:numCache>
                <c:formatCode>0</c:formatCode>
                <c:ptCount val="3"/>
                <c:pt idx="0">
                  <c:v>100</c:v>
                </c:pt>
                <c:pt idx="1">
                  <c:v>89.315982044228008</c:v>
                </c:pt>
                <c:pt idx="2" formatCode="0.00000">
                  <c:v>99.994110746969795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1-451C-B048-FBDBD5D0C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54105704"/>
        <c:axId val="454105048"/>
      </c:barChart>
      <c:catAx>
        <c:axId val="45410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4105048"/>
        <c:crosses val="autoZero"/>
        <c:auto val="1"/>
        <c:lblAlgn val="ctr"/>
        <c:lblOffset val="100"/>
        <c:noMultiLvlLbl val="0"/>
      </c:catAx>
      <c:valAx>
        <c:axId val="45410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>
                    <a:latin typeface="Calibri" panose="020F0502020204030204" pitchFamily="34" charset="0"/>
                    <a:cs typeface="Calibri" panose="020F0502020204030204" pitchFamily="34" charset="0"/>
                  </a:rPr>
                  <a:t>COST INDEX:</a:t>
                </a:r>
                <a:r>
                  <a:rPr lang="sv-SE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LCC_TOT STRATEGY 1 = 100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410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'LCC calculation'!$L$16</c:f>
              <c:strCache>
                <c:ptCount val="1"/>
                <c:pt idx="0">
                  <c:v>LCC_infra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'LCC calculation'!$M$2:$N$2</c:f>
              <c:strCache>
                <c:ptCount val="2"/>
                <c:pt idx="0">
                  <c:v>STRATEGY 1</c:v>
                </c:pt>
                <c:pt idx="1">
                  <c:v>STRATEGY 2</c:v>
                </c:pt>
              </c:strCache>
            </c:strRef>
          </c:cat>
          <c:val>
            <c:numRef>
              <c:f>'LCC calculation'!$M$16:$N$16</c:f>
              <c:numCache>
                <c:formatCode>0</c:formatCode>
                <c:ptCount val="2"/>
                <c:pt idx="0">
                  <c:v>70.972259477261815</c:v>
                </c:pt>
                <c:pt idx="1">
                  <c:v>67.545176652174362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C-4F97-9F28-DE81DF0DBD3E}"/>
            </c:ext>
          </c:extLst>
        </c:ser>
        <c:ser>
          <c:idx val="1"/>
          <c:order val="1"/>
          <c:tx>
            <c:strRef>
              <c:f>'LCC calculation'!$L$17</c:f>
              <c:strCache>
                <c:ptCount val="1"/>
                <c:pt idx="0">
                  <c:v>LCC_train_oper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'LCC calculation'!$M$2:$N$2</c:f>
              <c:strCache>
                <c:ptCount val="2"/>
                <c:pt idx="0">
                  <c:v>STRATEGY 1</c:v>
                </c:pt>
                <c:pt idx="1">
                  <c:v>STRATEGY 2</c:v>
                </c:pt>
              </c:strCache>
            </c:strRef>
          </c:cat>
          <c:val>
            <c:numRef>
              <c:f>'LCC calculation'!$M$17:$N$17</c:f>
              <c:numCache>
                <c:formatCode>0</c:formatCode>
                <c:ptCount val="2"/>
                <c:pt idx="0">
                  <c:v>29.027740522738181</c:v>
                </c:pt>
                <c:pt idx="1">
                  <c:v>21.770805392053639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C-4F97-9F28-DE81DF0DBD3E}"/>
            </c:ext>
          </c:extLst>
        </c:ser>
        <c:ser>
          <c:idx val="2"/>
          <c:order val="2"/>
          <c:tx>
            <c:strRef>
              <c:f>'LCC calculation'!$L$18</c:f>
              <c:strCache>
                <c:ptCount val="1"/>
                <c:pt idx="0">
                  <c:v>LCC_tot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'LCC calculation'!$M$2:$N$2</c:f>
              <c:strCache>
                <c:ptCount val="2"/>
                <c:pt idx="0">
                  <c:v>STRATEGY 1</c:v>
                </c:pt>
                <c:pt idx="1">
                  <c:v>STRATEGY 2</c:v>
                </c:pt>
              </c:strCache>
            </c:strRef>
          </c:cat>
          <c:val>
            <c:numRef>
              <c:f>'LCC calculation'!$M$18:$N$18</c:f>
              <c:numCache>
                <c:formatCode>0</c:formatCode>
                <c:ptCount val="2"/>
                <c:pt idx="0">
                  <c:v>100</c:v>
                </c:pt>
                <c:pt idx="1">
                  <c:v>89.315982044228008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0C-4F97-9F28-DE81DF0DB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54105704"/>
        <c:axId val="454105048"/>
      </c:barChart>
      <c:catAx>
        <c:axId val="45410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4105048"/>
        <c:crosses val="autoZero"/>
        <c:auto val="1"/>
        <c:lblAlgn val="ctr"/>
        <c:lblOffset val="100"/>
        <c:noMultiLvlLbl val="0"/>
      </c:catAx>
      <c:valAx>
        <c:axId val="45410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>
                    <a:latin typeface="Calibri" panose="020F0502020204030204" pitchFamily="34" charset="0"/>
                    <a:cs typeface="Calibri" panose="020F0502020204030204" pitchFamily="34" charset="0"/>
                  </a:rPr>
                  <a:t>COST INDEX:</a:t>
                </a:r>
                <a:r>
                  <a:rPr lang="sv-SE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LCC_TOT STRATEGY 1 = 100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410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CO2_Valuation!$B$1</c:f>
              <c:strCache>
                <c:ptCount val="1"/>
                <c:pt idx="0">
                  <c:v>CO2_Valuation (kr/kg Co2e)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CO2_Valuation!$A$2:$A$38</c:f>
              <c:numCache>
                <c:formatCode>General</c:formatCode>
                <c:ptCount val="3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  <c:pt idx="36">
                  <c:v>2055</c:v>
                </c:pt>
              </c:numCache>
            </c:numRef>
          </c:cat>
          <c:val>
            <c:numRef>
              <c:f>CO2_Valuation!$B$2:$B$38</c:f>
              <c:numCache>
                <c:formatCode>0.00</c:formatCode>
                <c:ptCount val="37"/>
                <c:pt idx="0">
                  <c:v>1.38</c:v>
                </c:pt>
                <c:pt idx="1">
                  <c:v>1.5206299999999999</c:v>
                </c:pt>
                <c:pt idx="2">
                  <c:v>1.66126</c:v>
                </c:pt>
                <c:pt idx="3">
                  <c:v>1.8018899999999998</c:v>
                </c:pt>
                <c:pt idx="4">
                  <c:v>1.9425199999999996</c:v>
                </c:pt>
                <c:pt idx="5">
                  <c:v>2.0831499999999998</c:v>
                </c:pt>
                <c:pt idx="6">
                  <c:v>2.2237799999999996</c:v>
                </c:pt>
                <c:pt idx="7">
                  <c:v>2.3644099999999995</c:v>
                </c:pt>
                <c:pt idx="8">
                  <c:v>2.5050399999999997</c:v>
                </c:pt>
                <c:pt idx="9">
                  <c:v>2.64567</c:v>
                </c:pt>
                <c:pt idx="10">
                  <c:v>2.7862999999999998</c:v>
                </c:pt>
                <c:pt idx="11">
                  <c:v>2.9269299999999996</c:v>
                </c:pt>
                <c:pt idx="12">
                  <c:v>3.0675599999999998</c:v>
                </c:pt>
                <c:pt idx="13">
                  <c:v>3.2081899999999997</c:v>
                </c:pt>
                <c:pt idx="14">
                  <c:v>3.3488199999999995</c:v>
                </c:pt>
                <c:pt idx="15">
                  <c:v>3.4894499999999993</c:v>
                </c:pt>
                <c:pt idx="16">
                  <c:v>3.6300799999999991</c:v>
                </c:pt>
                <c:pt idx="17">
                  <c:v>3.7707099999999989</c:v>
                </c:pt>
                <c:pt idx="18">
                  <c:v>3.9113399999999987</c:v>
                </c:pt>
                <c:pt idx="19">
                  <c:v>4.051969999999999</c:v>
                </c:pt>
                <c:pt idx="20">
                  <c:v>4.1925999999999988</c:v>
                </c:pt>
                <c:pt idx="21">
                  <c:v>4.3332299999999986</c:v>
                </c:pt>
                <c:pt idx="22">
                  <c:v>4.4738599999999984</c:v>
                </c:pt>
                <c:pt idx="23">
                  <c:v>4.6144899999999982</c:v>
                </c:pt>
                <c:pt idx="24">
                  <c:v>4.755119999999998</c:v>
                </c:pt>
                <c:pt idx="25">
                  <c:v>4.8957499999999978</c:v>
                </c:pt>
                <c:pt idx="26">
                  <c:v>5.0363799999999976</c:v>
                </c:pt>
                <c:pt idx="27">
                  <c:v>5.0531251482548605</c:v>
                </c:pt>
                <c:pt idx="28">
                  <c:v>5.0619681172643061</c:v>
                </c:pt>
                <c:pt idx="29">
                  <c:v>5.0708265614695183</c:v>
                </c:pt>
                <c:pt idx="30">
                  <c:v>5.0797005079520892</c:v>
                </c:pt>
                <c:pt idx="31">
                  <c:v>5.0885899838410049</c:v>
                </c:pt>
                <c:pt idx="32">
                  <c:v>5.0974950163127266</c:v>
                </c:pt>
                <c:pt idx="33">
                  <c:v>5.1064156325912737</c:v>
                </c:pt>
                <c:pt idx="34">
                  <c:v>5.1153518599483077</c:v>
                </c:pt>
                <c:pt idx="35">
                  <c:v>5.1243037257032169</c:v>
                </c:pt>
                <c:pt idx="36">
                  <c:v>5.1332712572231971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7-40C3-9FEC-FFF1A4AF5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609616"/>
        <c:axId val="711610576"/>
      </c:lineChart>
      <c:catAx>
        <c:axId val="71160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År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11610576"/>
        <c:crosses val="autoZero"/>
        <c:auto val="1"/>
        <c:lblAlgn val="ctr"/>
        <c:lblOffset val="100"/>
        <c:noMultiLvlLbl val="0"/>
      </c:catAx>
      <c:valAx>
        <c:axId val="7116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1160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752475</xdr:colOff>
      <xdr:row>9</xdr:row>
      <xdr:rowOff>159532</xdr:rowOff>
    </xdr:from>
    <xdr:to>
      <xdr:col>1</xdr:col>
      <xdr:colOff>4958292</xdr:colOff>
      <xdr:row>29</xdr:row>
      <xdr:rowOff>29447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801F59C2-C4CB-495A-8A21-BACBE28A0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1997857"/>
          <a:ext cx="4205817" cy="367991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23933</xdr:colOff>
      <xdr:row>19</xdr:row>
      <xdr:rowOff>20468</xdr:rowOff>
    </xdr:from>
    <xdr:to>
      <xdr:col>15</xdr:col>
      <xdr:colOff>87873</xdr:colOff>
      <xdr:row>37</xdr:row>
      <xdr:rowOff>105105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2C2EA86-0D16-4BD2-A25F-93B44E896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37</xdr:row>
      <xdr:rowOff>133350</xdr:rowOff>
    </xdr:from>
    <xdr:to>
      <xdr:col>15</xdr:col>
      <xdr:colOff>130615</xdr:colOff>
      <xdr:row>56</xdr:row>
      <xdr:rowOff>141787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53CE3E0-E4BC-41E6-AAF3-D07F5143F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3</xdr:row>
      <xdr:rowOff>83820</xdr:rowOff>
    </xdr:from>
    <xdr:to>
      <xdr:col>13</xdr:col>
      <xdr:colOff>167640</xdr:colOff>
      <xdr:row>17</xdr:row>
      <xdr:rowOff>180022</xdr:rowOff>
    </xdr:to>
    <xdr:graphicFrame macro="">
      <xdr:nvGraphicFramePr>
        <xdr:cNvPr id="14" name="Diagram 1">
          <a:extLst>
            <a:ext uri="{FF2B5EF4-FFF2-40B4-BE49-F238E27FC236}">
              <a16:creationId xmlns:a16="http://schemas.microsoft.com/office/drawing/2014/main" id="{CD5F7737-8B04-C3D9-826F-E9AA00A83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6C32D-A318-4516-9E2C-87A6C4A5FF27}">
  <dimension ref="A1:B76"/>
  <sheetViews>
    <sheetView workbookViewId="0">
      <selection activeCell="B14" sqref="B14"/>
    </sheetView>
  </sheetViews>
  <sheetFormatPr defaultRowHeight="14.4" x14ac:dyDescent="0.3"/>
  <cols>
    <col min="1" max="1" width="2.5546875" customWidth="1"/>
    <col min="2" max="2" width="87" customWidth="1"/>
  </cols>
  <sheetData>
    <row r="1" spans="1:2" x14ac:dyDescent="0.3">
      <c r="A1" s="33"/>
      <c r="B1" s="33"/>
    </row>
    <row r="2" spans="1:2" ht="21" x14ac:dyDescent="0.4">
      <c r="A2" s="33"/>
      <c r="B2" s="136" t="s">
        <v>252</v>
      </c>
    </row>
    <row r="3" spans="1:2" x14ac:dyDescent="0.3">
      <c r="A3" s="78"/>
      <c r="B3" s="78"/>
    </row>
    <row r="4" spans="1:2" ht="18" x14ac:dyDescent="0.35">
      <c r="A4" s="78"/>
      <c r="B4" s="137" t="s">
        <v>18</v>
      </c>
    </row>
    <row r="5" spans="1:2" x14ac:dyDescent="0.3">
      <c r="A5" s="78"/>
      <c r="B5" s="59" t="s">
        <v>24</v>
      </c>
    </row>
    <row r="6" spans="1:2" x14ac:dyDescent="0.3">
      <c r="A6" s="33"/>
      <c r="B6" s="13" t="s">
        <v>30</v>
      </c>
    </row>
    <row r="7" spans="1:2" x14ac:dyDescent="0.3">
      <c r="A7" s="33"/>
      <c r="B7" s="13" t="s">
        <v>39</v>
      </c>
    </row>
    <row r="8" spans="1:2" x14ac:dyDescent="0.3">
      <c r="A8" s="33"/>
      <c r="B8" s="13" t="s">
        <v>40</v>
      </c>
    </row>
    <row r="9" spans="1:2" x14ac:dyDescent="0.3">
      <c r="A9" s="33"/>
      <c r="B9" s="13" t="s">
        <v>44</v>
      </c>
    </row>
    <row r="10" spans="1:2" x14ac:dyDescent="0.3">
      <c r="A10" s="81"/>
      <c r="B10" s="33"/>
    </row>
    <row r="11" spans="1:2" x14ac:dyDescent="0.3">
      <c r="A11" s="33"/>
      <c r="B11" s="33"/>
    </row>
    <row r="12" spans="1:2" x14ac:dyDescent="0.3">
      <c r="A12" s="33"/>
      <c r="B12" s="33"/>
    </row>
    <row r="13" spans="1:2" x14ac:dyDescent="0.3">
      <c r="A13" s="33"/>
      <c r="B13" s="33"/>
    </row>
    <row r="14" spans="1:2" x14ac:dyDescent="0.3">
      <c r="A14" s="33"/>
      <c r="B14" s="33"/>
    </row>
    <row r="15" spans="1:2" x14ac:dyDescent="0.3">
      <c r="A15" s="33"/>
      <c r="B15" s="33"/>
    </row>
    <row r="16" spans="1:2" x14ac:dyDescent="0.3">
      <c r="A16" s="33"/>
      <c r="B16" s="33"/>
    </row>
    <row r="17" spans="1:2" x14ac:dyDescent="0.3">
      <c r="A17" s="33"/>
      <c r="B17" s="33"/>
    </row>
    <row r="18" spans="1:2" x14ac:dyDescent="0.3">
      <c r="A18" s="33"/>
      <c r="B18" s="33"/>
    </row>
    <row r="19" spans="1:2" x14ac:dyDescent="0.3">
      <c r="A19" s="33"/>
      <c r="B19" s="33"/>
    </row>
    <row r="20" spans="1:2" x14ac:dyDescent="0.3">
      <c r="A20" s="33"/>
      <c r="B20" s="33"/>
    </row>
    <row r="21" spans="1:2" x14ac:dyDescent="0.3">
      <c r="A21" s="33"/>
      <c r="B21" s="33"/>
    </row>
    <row r="22" spans="1:2" x14ac:dyDescent="0.3">
      <c r="A22" s="33"/>
      <c r="B22" s="33"/>
    </row>
    <row r="23" spans="1:2" x14ac:dyDescent="0.3">
      <c r="A23" s="33"/>
      <c r="B23" s="33"/>
    </row>
    <row r="24" spans="1:2" x14ac:dyDescent="0.3">
      <c r="A24" s="33"/>
      <c r="B24" s="33"/>
    </row>
    <row r="25" spans="1:2" x14ac:dyDescent="0.3">
      <c r="A25" s="33"/>
      <c r="B25" s="33"/>
    </row>
    <row r="26" spans="1:2" x14ac:dyDescent="0.3">
      <c r="A26" s="33"/>
      <c r="B26" s="33"/>
    </row>
    <row r="27" spans="1:2" x14ac:dyDescent="0.3">
      <c r="A27" s="33"/>
      <c r="B27" s="33"/>
    </row>
    <row r="28" spans="1:2" x14ac:dyDescent="0.3">
      <c r="A28" s="33"/>
      <c r="B28" s="33"/>
    </row>
    <row r="29" spans="1:2" x14ac:dyDescent="0.3">
      <c r="A29" s="79"/>
      <c r="B29" s="33"/>
    </row>
    <row r="30" spans="1:2" x14ac:dyDescent="0.3">
      <c r="A30" s="33"/>
      <c r="B30" s="33"/>
    </row>
    <row r="31" spans="1:2" x14ac:dyDescent="0.3">
      <c r="A31" s="33"/>
      <c r="B31" s="108" t="s">
        <v>88</v>
      </c>
    </row>
    <row r="32" spans="1:2" x14ac:dyDescent="0.3">
      <c r="A32" s="33"/>
      <c r="B32" s="33"/>
    </row>
    <row r="33" spans="1:2" ht="18" x14ac:dyDescent="0.35">
      <c r="A33" s="33"/>
      <c r="B33" s="58" t="s">
        <v>91</v>
      </c>
    </row>
    <row r="34" spans="1:2" x14ac:dyDescent="0.3">
      <c r="A34" s="33"/>
      <c r="B34" s="56" t="s">
        <v>93</v>
      </c>
    </row>
    <row r="35" spans="1:2" x14ac:dyDescent="0.3">
      <c r="A35" s="33"/>
      <c r="B35" s="211" t="s">
        <v>94</v>
      </c>
    </row>
    <row r="36" spans="1:2" x14ac:dyDescent="0.3">
      <c r="A36" s="33"/>
      <c r="B36" s="212" t="s">
        <v>95</v>
      </c>
    </row>
    <row r="37" spans="1:2" x14ac:dyDescent="0.3">
      <c r="A37" s="33"/>
      <c r="B37" s="216" t="s">
        <v>97</v>
      </c>
    </row>
    <row r="38" spans="1:2" x14ac:dyDescent="0.3">
      <c r="A38" s="33"/>
      <c r="B38" s="212" t="s">
        <v>98</v>
      </c>
    </row>
    <row r="39" spans="1:2" x14ac:dyDescent="0.3">
      <c r="A39" s="33"/>
      <c r="B39" s="212" t="s">
        <v>99</v>
      </c>
    </row>
    <row r="40" spans="1:2" x14ac:dyDescent="0.3">
      <c r="A40" s="33"/>
    </row>
    <row r="41" spans="1:2" ht="15.6" x14ac:dyDescent="0.3">
      <c r="A41" s="33"/>
      <c r="B41" s="57" t="s">
        <v>101</v>
      </c>
    </row>
    <row r="42" spans="1:2" x14ac:dyDescent="0.3">
      <c r="A42" s="68"/>
      <c r="B42" s="33"/>
    </row>
    <row r="43" spans="1:2" x14ac:dyDescent="0.3">
      <c r="A43" s="33"/>
      <c r="B43" s="69" t="s">
        <v>102</v>
      </c>
    </row>
    <row r="44" spans="1:2" x14ac:dyDescent="0.3">
      <c r="A44" s="33"/>
      <c r="B44" s="130" t="s">
        <v>106</v>
      </c>
    </row>
    <row r="45" spans="1:2" ht="15.6" x14ac:dyDescent="0.3">
      <c r="A45" s="33"/>
      <c r="B45" s="220" t="s">
        <v>109</v>
      </c>
    </row>
    <row r="46" spans="1:2" x14ac:dyDescent="0.3">
      <c r="A46" s="33"/>
      <c r="B46" s="131" t="s">
        <v>111</v>
      </c>
    </row>
    <row r="47" spans="1:2" ht="15.6" x14ac:dyDescent="0.3">
      <c r="A47" s="33"/>
      <c r="B47" s="219" t="s">
        <v>112</v>
      </c>
    </row>
    <row r="48" spans="1:2" x14ac:dyDescent="0.3">
      <c r="A48" s="33"/>
      <c r="B48" s="132" t="s">
        <v>116</v>
      </c>
    </row>
    <row r="49" spans="1:2" ht="15.6" x14ac:dyDescent="0.3">
      <c r="A49" s="33"/>
      <c r="B49" s="218" t="s">
        <v>118</v>
      </c>
    </row>
    <row r="50" spans="1:2" x14ac:dyDescent="0.3">
      <c r="A50" s="33"/>
      <c r="B50" s="33"/>
    </row>
    <row r="51" spans="1:2" ht="18" x14ac:dyDescent="0.35">
      <c r="A51" s="33"/>
      <c r="B51" s="58" t="s">
        <v>120</v>
      </c>
    </row>
    <row r="52" spans="1:2" x14ac:dyDescent="0.3">
      <c r="A52" s="33"/>
      <c r="B52" s="33" t="s">
        <v>123</v>
      </c>
    </row>
    <row r="53" spans="1:2" x14ac:dyDescent="0.3">
      <c r="A53" s="33"/>
      <c r="B53" s="70">
        <v>3.5000000000000003E-2</v>
      </c>
    </row>
    <row r="54" spans="1:2" x14ac:dyDescent="0.3">
      <c r="A54" s="33"/>
      <c r="B54" s="33"/>
    </row>
    <row r="55" spans="1:2" ht="18" x14ac:dyDescent="0.35">
      <c r="A55" s="33"/>
      <c r="B55" s="58" t="s">
        <v>126</v>
      </c>
    </row>
    <row r="56" spans="1:2" x14ac:dyDescent="0.3">
      <c r="A56" s="33"/>
      <c r="B56" s="61" t="s">
        <v>130</v>
      </c>
    </row>
    <row r="57" spans="1:2" x14ac:dyDescent="0.3">
      <c r="A57" s="33"/>
      <c r="B57" s="61" t="s">
        <v>132</v>
      </c>
    </row>
    <row r="58" spans="1:2" x14ac:dyDescent="0.3">
      <c r="A58" s="33"/>
      <c r="B58" s="61" t="s">
        <v>134</v>
      </c>
    </row>
    <row r="59" spans="1:2" x14ac:dyDescent="0.3">
      <c r="A59" s="33"/>
      <c r="B59" s="33"/>
    </row>
    <row r="60" spans="1:2" x14ac:dyDescent="0.3">
      <c r="A60" s="33"/>
      <c r="B60" s="33"/>
    </row>
    <row r="61" spans="1:2" x14ac:dyDescent="0.3">
      <c r="A61" s="33"/>
      <c r="B61" s="33"/>
    </row>
    <row r="62" spans="1:2" x14ac:dyDescent="0.3">
      <c r="A62" s="33"/>
      <c r="B62" s="33"/>
    </row>
    <row r="63" spans="1:2" x14ac:dyDescent="0.3">
      <c r="A63" s="33"/>
      <c r="B63" s="33"/>
    </row>
    <row r="64" spans="1:2" x14ac:dyDescent="0.3">
      <c r="A64" s="33"/>
      <c r="B64" s="33"/>
    </row>
    <row r="65" spans="1:2" x14ac:dyDescent="0.3">
      <c r="A65" s="33"/>
      <c r="B65" s="33"/>
    </row>
    <row r="66" spans="1:2" x14ac:dyDescent="0.3">
      <c r="A66" s="33"/>
      <c r="B66" s="33"/>
    </row>
    <row r="67" spans="1:2" x14ac:dyDescent="0.3">
      <c r="A67" s="33"/>
      <c r="B67" s="33"/>
    </row>
    <row r="68" spans="1:2" x14ac:dyDescent="0.3">
      <c r="A68" s="33"/>
      <c r="B68" s="33"/>
    </row>
    <row r="69" spans="1:2" x14ac:dyDescent="0.3">
      <c r="A69" s="33"/>
      <c r="B69" s="33"/>
    </row>
    <row r="70" spans="1:2" x14ac:dyDescent="0.3">
      <c r="A70" s="33"/>
      <c r="B70" s="33"/>
    </row>
    <row r="71" spans="1:2" x14ac:dyDescent="0.3">
      <c r="A71" s="33"/>
      <c r="B71" s="33"/>
    </row>
    <row r="72" spans="1:2" x14ac:dyDescent="0.3">
      <c r="A72" s="33"/>
      <c r="B72" s="33"/>
    </row>
    <row r="73" spans="1:2" x14ac:dyDescent="0.3">
      <c r="A73" s="33"/>
      <c r="B73" s="33"/>
    </row>
    <row r="74" spans="1:2" x14ac:dyDescent="0.3">
      <c r="A74" s="33"/>
      <c r="B74" s="33"/>
    </row>
    <row r="75" spans="1:2" x14ac:dyDescent="0.3">
      <c r="A75" s="33"/>
      <c r="B75" s="33"/>
    </row>
    <row r="76" spans="1:2" x14ac:dyDescent="0.3">
      <c r="A76" s="82"/>
      <c r="B76" s="82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399847-D20F-4414-8D08-612EFEEFD19C}">
          <x14:formula1>
            <xm:f>'Train disturbance parameters'!$B$6:$B$24</xm:f>
          </x14:formula1>
          <xm:sqref>B45 B49 B47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281D-924C-4FA2-981E-BBF25D33068E}">
  <dimension ref="A1:G52"/>
  <sheetViews>
    <sheetView zoomScaleNormal="100" workbookViewId="0">
      <selection activeCell="F3" sqref="F3"/>
    </sheetView>
  </sheetViews>
  <sheetFormatPr defaultRowHeight="14.4" x14ac:dyDescent="0.3"/>
  <cols>
    <col min="1" max="1" width="35.44140625" bestFit="1" customWidth="1"/>
    <col min="2" max="2" width="36" customWidth="1"/>
    <col min="3" max="3" width="41.6640625" customWidth="1"/>
    <col min="4" max="4" width="22.109375" bestFit="1" customWidth="1"/>
    <col min="5" max="5" width="11.88671875" customWidth="1"/>
    <col min="6" max="6" width="19.88671875" customWidth="1"/>
    <col min="7" max="7" width="73.33203125" customWidth="1"/>
  </cols>
  <sheetData>
    <row r="1" spans="1:7" ht="18" x14ac:dyDescent="0.35">
      <c r="A1" s="69" t="s">
        <v>1</v>
      </c>
      <c r="B1" s="69" t="s">
        <v>2</v>
      </c>
      <c r="C1" s="69" t="s">
        <v>3</v>
      </c>
      <c r="D1" s="69" t="s">
        <v>4</v>
      </c>
      <c r="E1" s="107" t="s">
        <v>253</v>
      </c>
      <c r="F1" s="108" t="s">
        <v>8</v>
      </c>
      <c r="G1" s="127" t="s">
        <v>266</v>
      </c>
    </row>
    <row r="2" spans="1:7" x14ac:dyDescent="0.3">
      <c r="A2" s="67"/>
      <c r="B2" s="33"/>
      <c r="C2" s="33"/>
      <c r="D2" s="33"/>
      <c r="E2" s="33"/>
      <c r="F2" s="33"/>
      <c r="G2" s="70"/>
    </row>
    <row r="3" spans="1:7" x14ac:dyDescent="0.3">
      <c r="A3" s="133" t="s">
        <v>19</v>
      </c>
      <c r="B3" s="68" t="s">
        <v>20</v>
      </c>
      <c r="C3" s="65" t="s">
        <v>21</v>
      </c>
      <c r="D3" s="65" t="s">
        <v>22</v>
      </c>
      <c r="E3" s="75">
        <v>30</v>
      </c>
      <c r="F3" s="61" t="s">
        <v>254</v>
      </c>
      <c r="G3" s="70" t="s">
        <v>261</v>
      </c>
    </row>
    <row r="4" spans="1:7" x14ac:dyDescent="0.3">
      <c r="A4" s="33"/>
      <c r="B4" s="33"/>
      <c r="C4" s="33" t="s">
        <v>31</v>
      </c>
      <c r="D4" s="33" t="s">
        <v>32</v>
      </c>
      <c r="E4" s="221" t="s">
        <v>256</v>
      </c>
      <c r="F4" s="125" t="s">
        <v>255</v>
      </c>
      <c r="G4" s="123" t="s">
        <v>270</v>
      </c>
    </row>
    <row r="5" spans="1:7" x14ac:dyDescent="0.3">
      <c r="A5" s="56"/>
      <c r="B5" s="56"/>
      <c r="C5" s="33"/>
      <c r="D5" s="33"/>
      <c r="F5" s="33"/>
      <c r="G5" s="70" t="s">
        <v>0</v>
      </c>
    </row>
    <row r="6" spans="1:7" x14ac:dyDescent="0.3">
      <c r="A6" s="33"/>
      <c r="B6" s="68" t="s">
        <v>41</v>
      </c>
      <c r="C6" s="33" t="s">
        <v>49</v>
      </c>
      <c r="D6" s="33" t="s">
        <v>50</v>
      </c>
      <c r="E6" s="169">
        <v>2</v>
      </c>
      <c r="F6" s="172" t="s">
        <v>257</v>
      </c>
      <c r="G6" s="123" t="s">
        <v>267</v>
      </c>
    </row>
    <row r="7" spans="1:7" x14ac:dyDescent="0.3">
      <c r="A7" s="33"/>
      <c r="B7" s="33"/>
      <c r="C7" s="33" t="s">
        <v>52</v>
      </c>
      <c r="D7" s="33" t="s">
        <v>259</v>
      </c>
      <c r="E7" s="169">
        <v>2</v>
      </c>
      <c r="F7" s="180" t="s">
        <v>33</v>
      </c>
      <c r="G7" s="123" t="s">
        <v>69</v>
      </c>
    </row>
    <row r="8" spans="1:7" x14ac:dyDescent="0.3">
      <c r="A8" s="33"/>
      <c r="B8" s="33"/>
      <c r="C8" s="33" t="s">
        <v>258</v>
      </c>
      <c r="D8" s="33" t="s">
        <v>259</v>
      </c>
      <c r="E8" s="169">
        <v>5</v>
      </c>
      <c r="F8" s="180" t="s">
        <v>33</v>
      </c>
      <c r="G8" s="123" t="s">
        <v>69</v>
      </c>
    </row>
    <row r="9" spans="1:7" x14ac:dyDescent="0.3">
      <c r="A9" s="33"/>
      <c r="B9" s="33"/>
    </row>
    <row r="10" spans="1:7" x14ac:dyDescent="0.3">
      <c r="A10" s="33"/>
      <c r="B10" s="68" t="s">
        <v>65</v>
      </c>
      <c r="C10" s="33" t="s">
        <v>66</v>
      </c>
      <c r="D10" s="33" t="s">
        <v>67</v>
      </c>
      <c r="E10" s="222">
        <v>7031</v>
      </c>
      <c r="F10" s="61" t="s">
        <v>254</v>
      </c>
      <c r="G10" s="70" t="s">
        <v>262</v>
      </c>
    </row>
    <row r="11" spans="1:7" x14ac:dyDescent="0.3">
      <c r="A11" s="68"/>
      <c r="B11" s="33"/>
      <c r="C11" s="33" t="s">
        <v>68</v>
      </c>
      <c r="D11" s="33" t="s">
        <v>67</v>
      </c>
      <c r="E11" s="222">
        <v>1500</v>
      </c>
      <c r="F11" s="126" t="s">
        <v>33</v>
      </c>
      <c r="G11" s="123" t="s">
        <v>260</v>
      </c>
    </row>
    <row r="12" spans="1:7" x14ac:dyDescent="0.3">
      <c r="A12" s="33"/>
      <c r="B12" s="68"/>
      <c r="C12" s="33" t="s">
        <v>47</v>
      </c>
      <c r="D12" s="33" t="s">
        <v>70</v>
      </c>
      <c r="E12" s="173">
        <v>40</v>
      </c>
      <c r="F12" s="176" t="s">
        <v>71</v>
      </c>
      <c r="G12" s="123" t="s">
        <v>263</v>
      </c>
    </row>
    <row r="13" spans="1:7" x14ac:dyDescent="0.3">
      <c r="A13" s="33"/>
      <c r="B13" s="68"/>
      <c r="C13" s="33" t="s">
        <v>264</v>
      </c>
      <c r="D13" s="33" t="s">
        <v>70</v>
      </c>
      <c r="E13" s="173">
        <v>50</v>
      </c>
      <c r="F13" s="176" t="s">
        <v>71</v>
      </c>
      <c r="G13" s="123"/>
    </row>
    <row r="14" spans="1:7" x14ac:dyDescent="0.3">
      <c r="A14" s="33"/>
      <c r="B14" s="33"/>
      <c r="C14" s="66"/>
      <c r="D14" s="33"/>
      <c r="E14" s="1"/>
      <c r="F14" s="99"/>
      <c r="G14" s="70"/>
    </row>
    <row r="15" spans="1:7" x14ac:dyDescent="0.3">
      <c r="A15" s="33"/>
      <c r="B15" s="68" t="s">
        <v>72</v>
      </c>
      <c r="C15" s="33" t="s">
        <v>73</v>
      </c>
      <c r="D15" s="33" t="s">
        <v>70</v>
      </c>
      <c r="E15" s="221" t="s">
        <v>256</v>
      </c>
      <c r="F15" s="180" t="s">
        <v>33</v>
      </c>
      <c r="G15" s="123" t="s">
        <v>268</v>
      </c>
    </row>
    <row r="16" spans="1:7" x14ac:dyDescent="0.3">
      <c r="A16" s="33"/>
      <c r="B16" s="33"/>
      <c r="C16" s="33"/>
      <c r="D16" s="33"/>
      <c r="F16" s="33"/>
      <c r="G16" s="70"/>
    </row>
    <row r="17" spans="1:7" x14ac:dyDescent="0.3">
      <c r="A17" s="134" t="s">
        <v>74</v>
      </c>
      <c r="B17" s="168" t="s">
        <v>41</v>
      </c>
      <c r="C17" s="185" t="s">
        <v>75</v>
      </c>
      <c r="D17" s="185" t="s">
        <v>76</v>
      </c>
      <c r="E17" s="181">
        <f>20/24</f>
        <v>0.83333333333333337</v>
      </c>
      <c r="F17" s="180" t="s">
        <v>51</v>
      </c>
      <c r="G17" s="184" t="s">
        <v>269</v>
      </c>
    </row>
    <row r="18" spans="1:7" x14ac:dyDescent="0.3">
      <c r="A18" s="168" t="s">
        <v>82</v>
      </c>
      <c r="B18" s="33"/>
      <c r="C18" s="33"/>
      <c r="D18" s="33"/>
      <c r="F18" s="33"/>
      <c r="G18" s="70"/>
    </row>
    <row r="19" spans="1:7" x14ac:dyDescent="0.3">
      <c r="A19" s="33"/>
      <c r="B19" s="68" t="s">
        <v>83</v>
      </c>
      <c r="C19" s="185" t="s">
        <v>84</v>
      </c>
      <c r="D19" s="185" t="s">
        <v>85</v>
      </c>
      <c r="E19" s="114">
        <v>310</v>
      </c>
      <c r="F19" s="126" t="s">
        <v>33</v>
      </c>
      <c r="G19" s="123" t="s">
        <v>271</v>
      </c>
    </row>
    <row r="20" spans="1:7" x14ac:dyDescent="0.3">
      <c r="A20" s="33"/>
      <c r="B20" s="33"/>
      <c r="C20" s="185"/>
      <c r="D20" s="185"/>
      <c r="F20" s="33"/>
      <c r="G20" s="70"/>
    </row>
    <row r="21" spans="1:7" x14ac:dyDescent="0.3">
      <c r="A21" s="33"/>
      <c r="B21" s="168" t="s">
        <v>89</v>
      </c>
      <c r="C21" s="185" t="s">
        <v>84</v>
      </c>
      <c r="D21" s="185" t="s">
        <v>90</v>
      </c>
      <c r="E21" s="64">
        <f>(E19/80)*60</f>
        <v>232.5</v>
      </c>
      <c r="F21" s="125" t="s">
        <v>33</v>
      </c>
      <c r="G21" s="123" t="s">
        <v>272</v>
      </c>
    </row>
    <row r="22" spans="1:7" x14ac:dyDescent="0.3">
      <c r="A22" s="33"/>
      <c r="B22" s="33"/>
      <c r="C22" s="33"/>
      <c r="D22" s="33"/>
      <c r="F22" s="33"/>
      <c r="G22" s="70"/>
    </row>
    <row r="23" spans="1:7" x14ac:dyDescent="0.3">
      <c r="A23" s="33"/>
      <c r="B23" s="188" t="s">
        <v>96</v>
      </c>
      <c r="C23" s="189" t="s">
        <v>84</v>
      </c>
      <c r="D23" s="189" t="s">
        <v>90</v>
      </c>
      <c r="E23" s="201">
        <f>((VLOOKUP(Overview!$B$45,'Train disturbance parameters'!$B$6:$H$24,6,FALSE)/100)+1)*((VLOOKUP(Overview!$B$45,'Train disturbance parameters'!$B$6:$H$24,7,FALSE)/100)+1)*E21</f>
        <v>320.15250000000003</v>
      </c>
      <c r="F23" s="194" t="s">
        <v>60</v>
      </c>
      <c r="G23" s="123" t="s">
        <v>272</v>
      </c>
    </row>
    <row r="24" spans="1:7" x14ac:dyDescent="0.3">
      <c r="A24" s="33"/>
      <c r="B24" s="33"/>
      <c r="F24" s="33"/>
      <c r="G24" s="70"/>
    </row>
    <row r="25" spans="1:7" x14ac:dyDescent="0.3">
      <c r="A25" s="33"/>
      <c r="B25" s="188" t="s">
        <v>103</v>
      </c>
      <c r="C25" s="189" t="s">
        <v>104</v>
      </c>
      <c r="D25" s="189" t="s">
        <v>105</v>
      </c>
      <c r="E25" s="198" t="e">
        <f>E$5*E$4*E17</f>
        <v>#VALUE!</v>
      </c>
      <c r="F25" s="194" t="s">
        <v>60</v>
      </c>
      <c r="G25" s="70"/>
    </row>
    <row r="26" spans="1:7" x14ac:dyDescent="0.3">
      <c r="A26" s="33"/>
      <c r="B26" s="189"/>
      <c r="C26" s="189"/>
      <c r="D26" s="189"/>
      <c r="E26" s="205"/>
      <c r="F26" s="189"/>
      <c r="G26" s="128"/>
    </row>
    <row r="27" spans="1:7" x14ac:dyDescent="0.3">
      <c r="A27" s="33"/>
      <c r="B27" s="188" t="s">
        <v>113</v>
      </c>
      <c r="C27" s="189" t="s">
        <v>114</v>
      </c>
      <c r="D27" s="189" t="s">
        <v>115</v>
      </c>
      <c r="E27" s="201" t="e">
        <f>IF(#REF!="",E23*VLOOKUP(Overview!$B$45,'Train disturbance parameters'!$B$6:$C$24,2,FALSE),'LCC calculation'!E44*VLOOKUP(Overview!$B$45,'Train disturbance parameters'!$B$6:$C$24,2,FALSE))</f>
        <v>#REF!</v>
      </c>
      <c r="F27" s="194" t="s">
        <v>60</v>
      </c>
      <c r="G27" s="70"/>
    </row>
    <row r="28" spans="1:7" x14ac:dyDescent="0.3">
      <c r="A28" s="33"/>
      <c r="B28" s="189"/>
      <c r="C28" s="189"/>
      <c r="D28" s="189"/>
      <c r="E28" s="205"/>
      <c r="F28" s="189"/>
      <c r="G28" s="70"/>
    </row>
    <row r="29" spans="1:7" x14ac:dyDescent="0.3">
      <c r="A29" s="68"/>
      <c r="B29" s="188" t="s">
        <v>121</v>
      </c>
      <c r="C29" s="189" t="s">
        <v>122</v>
      </c>
      <c r="D29" s="189" t="s">
        <v>115</v>
      </c>
      <c r="E29" s="198">
        <f>VLOOKUP(Overview!$B$45,'Train disturbance parameters'!$B$6:$D$24,3,FALSE)*'LCC calculation'!E33</f>
        <v>15810</v>
      </c>
      <c r="F29" s="194" t="s">
        <v>60</v>
      </c>
      <c r="G29" s="70"/>
    </row>
    <row r="30" spans="1:7" x14ac:dyDescent="0.3">
      <c r="A30" s="33"/>
      <c r="B30" s="189"/>
      <c r="C30" s="189"/>
      <c r="D30" s="189"/>
      <c r="E30" s="205"/>
      <c r="F30" s="189"/>
      <c r="G30" s="70"/>
    </row>
    <row r="31" spans="1:7" x14ac:dyDescent="0.3">
      <c r="A31" s="33"/>
      <c r="B31" s="188" t="s">
        <v>127</v>
      </c>
      <c r="C31" s="189" t="s">
        <v>128</v>
      </c>
      <c r="D31" s="189" t="s">
        <v>129</v>
      </c>
      <c r="E31" s="201" t="e">
        <f>E25*(E27+E29)</f>
        <v>#VALUE!</v>
      </c>
      <c r="F31" s="194" t="s">
        <v>60</v>
      </c>
      <c r="G31" s="70"/>
    </row>
    <row r="32" spans="1:7" x14ac:dyDescent="0.3">
      <c r="A32" s="33"/>
      <c r="B32" s="189"/>
      <c r="C32" s="189"/>
      <c r="D32" s="189"/>
      <c r="E32" s="189"/>
      <c r="F32" s="189"/>
      <c r="G32" s="33"/>
    </row>
    <row r="33" spans="1:7" x14ac:dyDescent="0.3">
      <c r="A33" s="33"/>
      <c r="B33" s="189" t="s">
        <v>135</v>
      </c>
      <c r="C33" s="189" t="s">
        <v>136</v>
      </c>
      <c r="D33" s="189" t="s">
        <v>137</v>
      </c>
      <c r="E33" s="201" t="e">
        <f>E31/(E$5*E$4)</f>
        <v>#VALUE!</v>
      </c>
      <c r="F33" s="194" t="s">
        <v>60</v>
      </c>
      <c r="G33" s="123" t="s">
        <v>138</v>
      </c>
    </row>
    <row r="34" spans="1:7" x14ac:dyDescent="0.3">
      <c r="A34" s="33"/>
      <c r="B34" s="33"/>
      <c r="C34" s="33"/>
      <c r="D34" s="33"/>
      <c r="E34" s="33"/>
      <c r="F34" s="33"/>
      <c r="G34" s="33"/>
    </row>
    <row r="35" spans="1:7" x14ac:dyDescent="0.3">
      <c r="A35" s="206" t="s">
        <v>141</v>
      </c>
      <c r="B35" s="185" t="s">
        <v>135</v>
      </c>
      <c r="C35" s="185" t="s">
        <v>136</v>
      </c>
      <c r="D35" s="185" t="s">
        <v>137</v>
      </c>
      <c r="E35" s="222">
        <v>50293</v>
      </c>
      <c r="F35" s="125" t="s">
        <v>33</v>
      </c>
      <c r="G35" s="33" t="s">
        <v>265</v>
      </c>
    </row>
    <row r="36" spans="1:7" x14ac:dyDescent="0.3">
      <c r="A36" s="33"/>
      <c r="B36" s="33"/>
      <c r="C36" s="33"/>
      <c r="D36" s="33"/>
      <c r="E36" s="33"/>
      <c r="F36" s="33"/>
      <c r="G36" s="33"/>
    </row>
    <row r="37" spans="1:7" x14ac:dyDescent="0.3">
      <c r="A37" s="33"/>
      <c r="B37" s="188" t="s">
        <v>142</v>
      </c>
      <c r="C37" s="189" t="s">
        <v>128</v>
      </c>
      <c r="D37" s="189" t="s">
        <v>129</v>
      </c>
      <c r="E37" s="201" t="e">
        <f>E35*(E$5*E$4)</f>
        <v>#VALUE!</v>
      </c>
      <c r="F37" s="194" t="s">
        <v>60</v>
      </c>
      <c r="G37" s="33"/>
    </row>
    <row r="38" spans="1:7" x14ac:dyDescent="0.3">
      <c r="A38" s="33"/>
      <c r="B38" s="33"/>
      <c r="C38" s="33"/>
      <c r="D38" s="33"/>
      <c r="E38" s="33"/>
      <c r="F38" s="33"/>
      <c r="G38" s="33"/>
    </row>
    <row r="39" spans="1:7" x14ac:dyDescent="0.3">
      <c r="A39" s="33"/>
      <c r="B39" s="33"/>
      <c r="C39" s="33"/>
      <c r="D39" s="33"/>
      <c r="E39" s="33"/>
      <c r="F39" s="33"/>
      <c r="G39" s="33"/>
    </row>
    <row r="40" spans="1:7" x14ac:dyDescent="0.3">
      <c r="A40" s="68"/>
      <c r="B40" s="78"/>
      <c r="C40" s="78"/>
      <c r="D40" s="33"/>
      <c r="E40" s="33"/>
      <c r="F40" s="33"/>
      <c r="G40" s="33"/>
    </row>
    <row r="41" spans="1:7" x14ac:dyDescent="0.3">
      <c r="A41" s="135" t="s">
        <v>143</v>
      </c>
      <c r="B41" s="129" t="s">
        <v>144</v>
      </c>
      <c r="C41" s="129" t="s">
        <v>145</v>
      </c>
      <c r="D41" s="129"/>
      <c r="E41" s="33"/>
      <c r="F41" s="33"/>
      <c r="G41" s="33"/>
    </row>
    <row r="42" spans="1:7" x14ac:dyDescent="0.3">
      <c r="A42" s="33"/>
      <c r="B42" s="129" t="s">
        <v>146</v>
      </c>
      <c r="C42" s="129" t="s">
        <v>145</v>
      </c>
      <c r="D42" s="129"/>
      <c r="E42" s="33"/>
      <c r="F42" s="33"/>
      <c r="G42" s="33"/>
    </row>
    <row r="43" spans="1:7" x14ac:dyDescent="0.3">
      <c r="A43" s="33"/>
      <c r="B43" s="129" t="s">
        <v>147</v>
      </c>
      <c r="C43" s="129" t="s">
        <v>148</v>
      </c>
      <c r="D43" s="129"/>
      <c r="E43" s="33"/>
      <c r="F43" s="33"/>
      <c r="G43" s="33"/>
    </row>
    <row r="44" spans="1:7" x14ac:dyDescent="0.3">
      <c r="A44" s="82"/>
      <c r="B44" s="82"/>
      <c r="C44" s="82"/>
      <c r="D44" s="82"/>
      <c r="E44" s="82"/>
      <c r="F44" s="82"/>
      <c r="G44" s="82"/>
    </row>
    <row r="50" spans="1:5" x14ac:dyDescent="0.3">
      <c r="A50" s="54" t="s">
        <v>247</v>
      </c>
      <c r="B50" s="2" t="s">
        <v>248</v>
      </c>
      <c r="C50" s="2" t="s">
        <v>249</v>
      </c>
      <c r="D50" s="2" t="s">
        <v>35</v>
      </c>
      <c r="E50" s="2" t="s">
        <v>36</v>
      </c>
    </row>
    <row r="51" spans="1:5" x14ac:dyDescent="0.3">
      <c r="A51" t="s">
        <v>65</v>
      </c>
      <c r="B51" s="1" t="s">
        <v>250</v>
      </c>
      <c r="C51" s="1" t="s">
        <v>67</v>
      </c>
      <c r="D51" s="1">
        <v>50</v>
      </c>
      <c r="E51" s="1">
        <v>50</v>
      </c>
    </row>
    <row r="52" spans="1:5" x14ac:dyDescent="0.3">
      <c r="A52" t="s">
        <v>65</v>
      </c>
      <c r="B52" s="1" t="s">
        <v>251</v>
      </c>
      <c r="C52" s="1" t="s">
        <v>67</v>
      </c>
      <c r="D52" s="1">
        <f>92440/100</f>
        <v>924.4</v>
      </c>
      <c r="E52" s="1">
        <f>92470/100</f>
        <v>924.7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FB41-4712-42FA-A521-99FFF6F99586}">
  <dimension ref="A1:O15"/>
  <sheetViews>
    <sheetView tabSelected="1" workbookViewId="0">
      <selection activeCell="J2" sqref="J2"/>
    </sheetView>
  </sheetViews>
  <sheetFormatPr defaultRowHeight="14.4" x14ac:dyDescent="0.3"/>
  <cols>
    <col min="1" max="1" width="43.109375" customWidth="1"/>
    <col min="4" max="4" width="30.33203125" customWidth="1"/>
    <col min="5" max="5" width="20.5546875" customWidth="1"/>
    <col min="6" max="6" width="17.21875" customWidth="1"/>
    <col min="7" max="7" width="17.21875" style="234" customWidth="1"/>
    <col min="8" max="8" width="25.21875" customWidth="1"/>
    <col min="9" max="9" width="21.77734375" customWidth="1"/>
    <col min="10" max="10" width="21" customWidth="1"/>
    <col min="11" max="11" width="27.33203125" customWidth="1"/>
    <col min="12" max="13" width="21" customWidth="1"/>
    <col min="14" max="14" width="17.77734375" customWidth="1"/>
  </cols>
  <sheetData>
    <row r="1" spans="1:15" x14ac:dyDescent="0.3">
      <c r="A1" s="232" t="s">
        <v>280</v>
      </c>
      <c r="B1" s="232" t="s">
        <v>275</v>
      </c>
      <c r="C1" s="232" t="s">
        <v>249</v>
      </c>
      <c r="D1" s="232" t="s">
        <v>284</v>
      </c>
      <c r="E1" s="232" t="s">
        <v>314</v>
      </c>
      <c r="F1" s="232" t="s">
        <v>276</v>
      </c>
      <c r="G1" s="233" t="s">
        <v>306</v>
      </c>
      <c r="H1" s="233" t="s">
        <v>289</v>
      </c>
      <c r="I1" s="2" t="s">
        <v>312</v>
      </c>
      <c r="J1" s="233" t="s">
        <v>278</v>
      </c>
      <c r="K1" s="233" t="s">
        <v>313</v>
      </c>
      <c r="L1" s="233" t="s">
        <v>67</v>
      </c>
      <c r="M1" s="233" t="s">
        <v>290</v>
      </c>
      <c r="N1" s="233" t="s">
        <v>273</v>
      </c>
    </row>
    <row r="2" spans="1:15" x14ac:dyDescent="0.3">
      <c r="A2" t="s">
        <v>281</v>
      </c>
      <c r="B2">
        <v>1</v>
      </c>
      <c r="C2" t="s">
        <v>85</v>
      </c>
      <c r="D2" t="s">
        <v>285</v>
      </c>
      <c r="E2">
        <f>467.3950042*1000</f>
        <v>467395.00420000002</v>
      </c>
      <c r="F2">
        <v>4752.6315249999998</v>
      </c>
      <c r="G2" s="234">
        <f>'Energy use emission factors'!A32</f>
        <v>0</v>
      </c>
      <c r="H2">
        <f>('Energy use emission factors'!A2/100) + (1 - 'Energy use emission factors'!A2/100)*'Energy use emission factors'!C2</f>
        <v>0.64649243466299866</v>
      </c>
      <c r="I2">
        <f>F2*H2</f>
        <v>3072.54032565337</v>
      </c>
      <c r="J2" s="250">
        <f>LOOKUP(CO2_Valuation!A8, CO2_Valuation!A:A, CO2_Valuation!B:B)</f>
        <v>2.2237799999999996</v>
      </c>
      <c r="K2">
        <f>LOOKUP(CO2_Valuation!A8, CO2_Valuation!A:A, CO2_Valuation!B:B)*(E2+I2)*1000</f>
        <v>1046216316.1652573</v>
      </c>
      <c r="L2">
        <f>K2/1000</f>
        <v>1046216.3161652574</v>
      </c>
      <c r="M2" t="s">
        <v>291</v>
      </c>
      <c r="N2" s="236" t="s">
        <v>293</v>
      </c>
    </row>
    <row r="3" spans="1:15" x14ac:dyDescent="0.3">
      <c r="A3" t="s">
        <v>281</v>
      </c>
      <c r="B3">
        <v>1</v>
      </c>
      <c r="C3" t="s">
        <v>85</v>
      </c>
      <c r="D3" t="s">
        <v>286</v>
      </c>
      <c r="E3" s="249">
        <f>9.347900083*1000</f>
        <v>9347.9000830000004</v>
      </c>
      <c r="F3">
        <v>95.05263051</v>
      </c>
      <c r="G3" s="234">
        <f>'Energy use emission factors'!A2</f>
        <v>0</v>
      </c>
      <c r="H3">
        <f>('Energy use emission factors'!A3/100) + (1 - 'Energy use emission factors'!A3/100)*'Energy use emission factors'!C3</f>
        <v>0.93548254367063954</v>
      </c>
      <c r="I3">
        <f>F3*H3</f>
        <v>88.920076572080234</v>
      </c>
      <c r="J3" s="250">
        <f>LOOKUP(CO2_Valuation!A8, CO2_Valuation!A:A, CO2_Valuation!B:B)</f>
        <v>2.2237799999999996</v>
      </c>
      <c r="K3">
        <f>LOOKUP(CO2_Valuation!A9, CO2_Valuation!A:A, CO2_Valuation!B:B)*(E3+I3)*1000</f>
        <v>22312511.953493815</v>
      </c>
      <c r="L3" s="249">
        <f t="shared" ref="L3:L6" si="0">K3/1000</f>
        <v>22312.511953493817</v>
      </c>
      <c r="M3" t="s">
        <v>291</v>
      </c>
      <c r="N3" t="s">
        <v>292</v>
      </c>
      <c r="O3" t="s">
        <v>294</v>
      </c>
    </row>
    <row r="4" spans="1:15" x14ac:dyDescent="0.3">
      <c r="A4" t="s">
        <v>281</v>
      </c>
      <c r="B4">
        <v>1</v>
      </c>
      <c r="C4" t="s">
        <v>85</v>
      </c>
      <c r="D4" t="s">
        <v>287</v>
      </c>
      <c r="E4">
        <f>0.717088628*1000</f>
        <v>717.08862799999997</v>
      </c>
      <c r="F4">
        <v>141.21226329999999</v>
      </c>
      <c r="G4" s="234">
        <f>'Energy use emission factors'!A32</f>
        <v>0</v>
      </c>
      <c r="H4">
        <f>('Energy use emission factors'!A4/100) + (1 - 'Energy use emission factors'!A4/100)*'Energy use emission factors'!C4</f>
        <v>1.1959132073371446</v>
      </c>
      <c r="I4">
        <f>F4*H4</f>
        <v>168.87761071844034</v>
      </c>
      <c r="J4" s="250">
        <f>LOOKUP(CO2_Valuation!A8, CO2_Valuation!A:A, CO2_Valuation!B:B)</f>
        <v>2.2237799999999996</v>
      </c>
      <c r="K4">
        <f>LOOKUP(CO2_Valuation!A10, CO2_Valuation!A:A, CO2_Valuation!B:B)*(E4+I4)*1000</f>
        <v>2219380.8666392416</v>
      </c>
      <c r="L4">
        <f t="shared" si="0"/>
        <v>2219.3808666392415</v>
      </c>
      <c r="M4" t="s">
        <v>291</v>
      </c>
    </row>
    <row r="5" spans="1:15" x14ac:dyDescent="0.3">
      <c r="A5" t="s">
        <v>277</v>
      </c>
      <c r="B5">
        <v>1000</v>
      </c>
      <c r="C5" t="s">
        <v>279</v>
      </c>
      <c r="D5" t="s">
        <v>285</v>
      </c>
      <c r="E5">
        <f>329.8885214*1000</f>
        <v>329888.52140000003</v>
      </c>
      <c r="F5">
        <v>3040.2167679999998</v>
      </c>
      <c r="G5" s="246">
        <f>'Energy use emission factors'!A10</f>
        <v>40</v>
      </c>
      <c r="H5">
        <f>('Energy use emission factors'!A5/100) + (1 - 'Energy use emission factors'!A5/100)*'Energy use emission factors'!C5</f>
        <v>1.4277844256625134</v>
      </c>
      <c r="I5">
        <f>F5*H5</f>
        <v>4340.7741519884221</v>
      </c>
      <c r="J5" s="250">
        <f>LOOKUP(CO2_Valuation!A8, CO2_Valuation!A:A, CO2_Valuation!B:B)</f>
        <v>2.2237799999999996</v>
      </c>
      <c r="K5">
        <f>LOOKUP(CO2_Valuation!A11, CO2_Valuation!A:A, CO2_Valuation!B:B)*(E5+I5)*1000</f>
        <v>884260420.36302936</v>
      </c>
      <c r="L5">
        <f t="shared" si="0"/>
        <v>884260.42036302935</v>
      </c>
      <c r="M5" t="s">
        <v>291</v>
      </c>
      <c r="N5" t="s">
        <v>299</v>
      </c>
    </row>
    <row r="6" spans="1:15" x14ac:dyDescent="0.3">
      <c r="A6" t="s">
        <v>277</v>
      </c>
      <c r="B6">
        <v>1000</v>
      </c>
      <c r="C6" t="s">
        <v>279</v>
      </c>
      <c r="D6" t="s">
        <v>286</v>
      </c>
      <c r="E6" s="248">
        <f>6.597770427*1000</f>
        <v>6597.7704270000004</v>
      </c>
      <c r="F6">
        <v>60.804335360000003</v>
      </c>
      <c r="G6" s="234">
        <f>'Energy use emission factors'!A32</f>
        <v>0</v>
      </c>
      <c r="H6">
        <f>('Energy use emission factors'!A6/100) + (1 - 'Energy use emission factors'!A6/100)*'Energy use emission factors'!C6</f>
        <v>1.6310961986467469</v>
      </c>
      <c r="I6">
        <f>F6*H6</f>
        <v>99.177720266937982</v>
      </c>
      <c r="J6" s="250">
        <f>LOOKUP(CO2_Valuation!A8, CO2_Valuation!A:A, CO2_Valuation!B:B)</f>
        <v>2.2237799999999996</v>
      </c>
      <c r="K6">
        <f>LOOKUP(CO2_Valuation!A12, CO2_Valuation!A:A, CO2_Valuation!B:B)*(E6+I6)*1000</f>
        <v>18659706.622729871</v>
      </c>
      <c r="L6" s="248">
        <f t="shared" si="0"/>
        <v>18659.706622729871</v>
      </c>
      <c r="M6" t="s">
        <v>291</v>
      </c>
    </row>
    <row r="7" spans="1:15" s="55" customFormat="1" x14ac:dyDescent="0.3">
      <c r="A7" s="55" t="s">
        <v>298</v>
      </c>
      <c r="D7" s="55" t="s">
        <v>288</v>
      </c>
      <c r="E7" s="55">
        <f>15.94567051*1000</f>
        <v>15945.67051</v>
      </c>
      <c r="F7" s="55">
        <v>155.85696590000001</v>
      </c>
      <c r="G7" s="235"/>
      <c r="J7" s="250"/>
      <c r="M7" t="s">
        <v>274</v>
      </c>
      <c r="N7"/>
    </row>
    <row r="8" spans="1:15" s="55" customFormat="1" x14ac:dyDescent="0.3">
      <c r="A8" s="55" t="s">
        <v>282</v>
      </c>
      <c r="D8" s="55" t="s">
        <v>288</v>
      </c>
      <c r="E8" s="55">
        <f>0.717088628*1000</f>
        <v>717.08862799999997</v>
      </c>
      <c r="F8" s="55">
        <v>141.21226329999999</v>
      </c>
      <c r="G8" s="235"/>
      <c r="J8" s="250"/>
      <c r="M8" t="s">
        <v>274</v>
      </c>
    </row>
    <row r="9" spans="1:15" s="55" customFormat="1" x14ac:dyDescent="0.3">
      <c r="A9" s="55" t="s">
        <v>283</v>
      </c>
      <c r="D9" s="55" t="s">
        <v>288</v>
      </c>
      <c r="E9" s="55">
        <f>0.66687297*1000</f>
        <v>666.87297000000001</v>
      </c>
      <c r="F9" s="55">
        <v>10.19917369</v>
      </c>
      <c r="G9" s="235"/>
      <c r="J9" s="250"/>
      <c r="M9" t="s">
        <v>274</v>
      </c>
    </row>
    <row r="10" spans="1:15" x14ac:dyDescent="0.3">
      <c r="B10" t="s">
        <v>302</v>
      </c>
      <c r="N10" s="55"/>
    </row>
    <row r="11" spans="1:15" x14ac:dyDescent="0.3">
      <c r="A11" s="245" t="s">
        <v>295</v>
      </c>
      <c r="B11" t="s">
        <v>307</v>
      </c>
      <c r="D11" s="245" t="s">
        <v>72</v>
      </c>
    </row>
    <row r="12" spans="1:15" x14ac:dyDescent="0.3">
      <c r="A12" s="245" t="s">
        <v>296</v>
      </c>
      <c r="D12" s="245" t="s">
        <v>300</v>
      </c>
    </row>
    <row r="13" spans="1:15" x14ac:dyDescent="0.3">
      <c r="A13" s="245" t="s">
        <v>297</v>
      </c>
      <c r="D13" s="245" t="s">
        <v>300</v>
      </c>
    </row>
    <row r="15" spans="1:15" x14ac:dyDescent="0.3">
      <c r="E15" s="247"/>
      <c r="F15" s="247"/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1756-7DB9-46B2-B62B-0BC8C4179448}">
  <dimension ref="A1:G103"/>
  <sheetViews>
    <sheetView workbookViewId="0">
      <selection activeCell="B2" sqref="B2"/>
    </sheetView>
  </sheetViews>
  <sheetFormatPr defaultRowHeight="14.4" x14ac:dyDescent="0.3"/>
  <cols>
    <col min="2" max="2" width="18.33203125" customWidth="1"/>
    <col min="3" max="3" width="18.6640625" customWidth="1"/>
    <col min="4" max="4" width="26.77734375" customWidth="1"/>
    <col min="5" max="5" width="18.21875" customWidth="1"/>
  </cols>
  <sheetData>
    <row r="1" spans="1:7" x14ac:dyDescent="0.3">
      <c r="A1" s="117"/>
      <c r="B1" s="241" t="s">
        <v>332</v>
      </c>
      <c r="C1" s="242"/>
      <c r="D1" s="243"/>
      <c r="E1" s="241" t="s">
        <v>310</v>
      </c>
      <c r="F1" s="242"/>
      <c r="G1" s="243"/>
    </row>
    <row r="2" spans="1:7" x14ac:dyDescent="0.3">
      <c r="A2" s="120" t="s">
        <v>38</v>
      </c>
      <c r="B2" s="86" t="s">
        <v>308</v>
      </c>
      <c r="C2" s="87" t="s">
        <v>309</v>
      </c>
      <c r="D2" s="88" t="s">
        <v>331</v>
      </c>
      <c r="E2" s="86" t="s">
        <v>311</v>
      </c>
      <c r="F2" s="87" t="s">
        <v>36</v>
      </c>
      <c r="G2" s="88" t="s">
        <v>37</v>
      </c>
    </row>
    <row r="3" spans="1:7" x14ac:dyDescent="0.3">
      <c r="A3" s="118">
        <v>2025</v>
      </c>
      <c r="B3" s="91">
        <f>LOOKUP(A3,CO2_Valuation!A:A,CO2_Valuation!B:B)*('LCA indata_EF'!$E$3+'LCA indata_EF'!$I$3)</f>
        <v>20985.411934453197</v>
      </c>
      <c r="C3" s="92">
        <f>LOOKUP(A3,CO2_Valuation!A:A,CO2_Valuation!B:B)*('LCA indata_EF'!$E$6+'LCA indata_EF'!$I$6)</f>
        <v>14892.53935092927</v>
      </c>
      <c r="D3" s="93">
        <f xml:space="preserve"> -(1-E3)*B3</f>
        <v>-18886.870741007879</v>
      </c>
      <c r="E3" s="91">
        <v>0.1</v>
      </c>
      <c r="F3" s="92"/>
      <c r="G3" s="93"/>
    </row>
    <row r="4" spans="1:7" x14ac:dyDescent="0.3">
      <c r="A4" s="118">
        <f>A3+1</f>
        <v>2026</v>
      </c>
      <c r="B4" s="91">
        <f>LOOKUP(A4,CO2_Valuation!A:A,CO2_Valuation!B:B)*('LCA indata_EF'!$E$3+'LCA indata_EF'!$I$3)</f>
        <v>22312.511953493817</v>
      </c>
      <c r="C4" s="92">
        <f>LOOKUP(A4,CO2_Valuation!A:A,CO2_Valuation!B:B)*('LCA indata_EF'!$E$6+'LCA indata_EF'!$I$6)</f>
        <v>15834.331168879418</v>
      </c>
      <c r="D4" s="93"/>
      <c r="E4" s="91"/>
      <c r="F4" s="89"/>
      <c r="G4" s="95"/>
    </row>
    <row r="5" spans="1:7" x14ac:dyDescent="0.3">
      <c r="A5" s="118">
        <f t="shared" ref="A5:A68" si="0">A4+1</f>
        <v>2027</v>
      </c>
      <c r="B5" s="91">
        <f>LOOKUP(A5,CO2_Valuation!A:A,CO2_Valuation!B:B)*('LCA indata_EF'!$E$3+'LCA indata_EF'!$I$3)</f>
        <v>23639.61197253444</v>
      </c>
      <c r="C5" s="92">
        <f>LOOKUP(A5,CO2_Valuation!A:A,CO2_Valuation!B:B)*('LCA indata_EF'!$E$6+'LCA indata_EF'!$I$6)</f>
        <v>16776.12298682957</v>
      </c>
      <c r="D5" s="93"/>
      <c r="E5" s="91"/>
      <c r="F5" s="89"/>
      <c r="G5" s="95"/>
    </row>
    <row r="6" spans="1:7" x14ac:dyDescent="0.3">
      <c r="A6" s="118">
        <f t="shared" si="0"/>
        <v>2028</v>
      </c>
      <c r="B6" s="91">
        <f>LOOKUP(A6,CO2_Valuation!A:A,CO2_Valuation!B:B)*('LCA indata_EF'!$E$3+'LCA indata_EF'!$I$3)</f>
        <v>24966.711991575066</v>
      </c>
      <c r="C6" s="92">
        <f>LOOKUP(A6,CO2_Valuation!A:A,CO2_Valuation!B:B)*('LCA indata_EF'!$E$6+'LCA indata_EF'!$I$6)</f>
        <v>17717.914804779721</v>
      </c>
      <c r="D6" s="93"/>
      <c r="E6" s="91"/>
      <c r="F6" s="89"/>
      <c r="G6" s="95"/>
    </row>
    <row r="7" spans="1:7" x14ac:dyDescent="0.3">
      <c r="A7" s="118">
        <f t="shared" si="0"/>
        <v>2029</v>
      </c>
      <c r="B7" s="91">
        <f>LOOKUP(A7,CO2_Valuation!A:A,CO2_Valuation!B:B)*('LCA indata_EF'!$E$3+'LCA indata_EF'!$I$3)</f>
        <v>26293.812010615686</v>
      </c>
      <c r="C7" s="92">
        <f>LOOKUP(A7,CO2_Valuation!A:A,CO2_Valuation!B:B)*('LCA indata_EF'!$E$6+'LCA indata_EF'!$I$6)</f>
        <v>18659.706622729871</v>
      </c>
      <c r="D7" s="93"/>
      <c r="E7" s="91"/>
      <c r="F7" s="89"/>
      <c r="G7" s="95"/>
    </row>
    <row r="8" spans="1:7" x14ac:dyDescent="0.3">
      <c r="A8" s="118">
        <f t="shared" si="0"/>
        <v>2030</v>
      </c>
      <c r="B8" s="91">
        <f>LOOKUP(A8,CO2_Valuation!A:A,CO2_Valuation!B:B)*('LCA indata_EF'!$E$3+'LCA indata_EF'!$I$3)</f>
        <v>27620.912029656305</v>
      </c>
      <c r="C8" s="92">
        <f>LOOKUP(A8,CO2_Valuation!A:A,CO2_Valuation!B:B)*('LCA indata_EF'!$E$6+'LCA indata_EF'!$I$6)</f>
        <v>19601.498440680018</v>
      </c>
      <c r="D8" s="93"/>
      <c r="E8" s="91"/>
      <c r="F8" s="89"/>
      <c r="G8" s="95"/>
    </row>
    <row r="9" spans="1:7" x14ac:dyDescent="0.3">
      <c r="A9" s="118">
        <f t="shared" si="0"/>
        <v>2031</v>
      </c>
      <c r="B9" s="91">
        <f>LOOKUP(A9,CO2_Valuation!A:A,CO2_Valuation!B:B)*('LCA indata_EF'!$E$3+'LCA indata_EF'!$I$3)</f>
        <v>28948.012048696928</v>
      </c>
      <c r="C9" s="92">
        <f>LOOKUP(A9,CO2_Valuation!A:A,CO2_Valuation!B:B)*('LCA indata_EF'!$E$6+'LCA indata_EF'!$I$6)</f>
        <v>20543.290258630168</v>
      </c>
      <c r="D9" s="93"/>
      <c r="E9" s="91"/>
      <c r="F9" s="89"/>
      <c r="G9" s="95"/>
    </row>
    <row r="10" spans="1:7" x14ac:dyDescent="0.3">
      <c r="A10" s="118">
        <f t="shared" si="0"/>
        <v>2032</v>
      </c>
      <c r="B10" s="91">
        <f>LOOKUP(A10,CO2_Valuation!A:A,CO2_Valuation!B:B)*('LCA indata_EF'!$E$3+'LCA indata_EF'!$I$3)</f>
        <v>30275.112067737547</v>
      </c>
      <c r="C10" s="92">
        <f>LOOKUP(A10,CO2_Valuation!A:A,CO2_Valuation!B:B)*('LCA indata_EF'!$E$6+'LCA indata_EF'!$I$6)</f>
        <v>21485.082076580318</v>
      </c>
      <c r="D10" s="93"/>
      <c r="E10" s="91"/>
      <c r="F10" s="89"/>
      <c r="G10" s="95"/>
    </row>
    <row r="11" spans="1:7" x14ac:dyDescent="0.3">
      <c r="A11" s="118">
        <f t="shared" si="0"/>
        <v>2033</v>
      </c>
      <c r="B11" s="91">
        <f>LOOKUP(A11,CO2_Valuation!A:A,CO2_Valuation!B:B)*('LCA indata_EF'!$E$3+'LCA indata_EF'!$I$3)</f>
        <v>31602.212086778167</v>
      </c>
      <c r="C11" s="92">
        <f>LOOKUP(A11,CO2_Valuation!A:A,CO2_Valuation!B:B)*('LCA indata_EF'!$E$6+'LCA indata_EF'!$I$6)</f>
        <v>22426.873894530465</v>
      </c>
      <c r="D11" s="93"/>
      <c r="E11" s="91"/>
      <c r="F11" s="89"/>
      <c r="G11" s="95"/>
    </row>
    <row r="12" spans="1:7" x14ac:dyDescent="0.3">
      <c r="A12" s="118">
        <f t="shared" si="0"/>
        <v>2034</v>
      </c>
      <c r="B12" s="91">
        <f>LOOKUP(A12,CO2_Valuation!A:A,CO2_Valuation!B:B)*('LCA indata_EF'!$E$3+'LCA indata_EF'!$I$3)</f>
        <v>32929.31210581879</v>
      </c>
      <c r="C12" s="92">
        <f>LOOKUP(A12,CO2_Valuation!A:A,CO2_Valuation!B:B)*('LCA indata_EF'!$E$6+'LCA indata_EF'!$I$6)</f>
        <v>23368.665712480615</v>
      </c>
      <c r="D12" s="93"/>
      <c r="E12" s="91"/>
      <c r="F12" s="89"/>
      <c r="G12" s="95"/>
    </row>
    <row r="13" spans="1:7" x14ac:dyDescent="0.3">
      <c r="A13" s="118">
        <f t="shared" si="0"/>
        <v>2035</v>
      </c>
      <c r="B13" s="91">
        <f>LOOKUP(A13,CO2_Valuation!A:A,CO2_Valuation!B:B)*('LCA indata_EF'!$E$3+'LCA indata_EF'!$I$3)</f>
        <v>34256.412124859409</v>
      </c>
      <c r="C13" s="92">
        <f>LOOKUP(A13,CO2_Valuation!A:A,CO2_Valuation!B:B)*('LCA indata_EF'!$E$6+'LCA indata_EF'!$I$6)</f>
        <v>24310.457530430762</v>
      </c>
      <c r="D13" s="93"/>
      <c r="E13" s="91"/>
      <c r="F13" s="89"/>
      <c r="G13" s="95"/>
    </row>
    <row r="14" spans="1:7" x14ac:dyDescent="0.3">
      <c r="A14" s="118">
        <f t="shared" si="0"/>
        <v>2036</v>
      </c>
      <c r="B14" s="91">
        <f>LOOKUP(A14,CO2_Valuation!A:A,CO2_Valuation!B:B)*('LCA indata_EF'!$E$3+'LCA indata_EF'!$I$3)</f>
        <v>35583.512143900029</v>
      </c>
      <c r="C14" s="92">
        <f>LOOKUP(A14,CO2_Valuation!A:A,CO2_Valuation!B:B)*('LCA indata_EF'!$E$6+'LCA indata_EF'!$I$6)</f>
        <v>25252.249348380912</v>
      </c>
      <c r="D14" s="93"/>
      <c r="E14" s="91"/>
      <c r="F14" s="89"/>
      <c r="G14" s="95"/>
    </row>
    <row r="15" spans="1:7" x14ac:dyDescent="0.3">
      <c r="A15" s="118">
        <f t="shared" si="0"/>
        <v>2037</v>
      </c>
      <c r="B15" s="91">
        <f>LOOKUP(A15,CO2_Valuation!A:A,CO2_Valuation!B:B)*('LCA indata_EF'!$E$3+'LCA indata_EF'!$I$3)</f>
        <v>36910.612162940648</v>
      </c>
      <c r="C15" s="92">
        <f>LOOKUP(A15,CO2_Valuation!A:A,CO2_Valuation!B:B)*('LCA indata_EF'!$E$6+'LCA indata_EF'!$I$6)</f>
        <v>26194.041166331059</v>
      </c>
      <c r="D15" s="93"/>
      <c r="E15" s="91"/>
      <c r="F15" s="89"/>
      <c r="G15" s="95"/>
    </row>
    <row r="16" spans="1:7" x14ac:dyDescent="0.3">
      <c r="A16" s="118">
        <f t="shared" si="0"/>
        <v>2038</v>
      </c>
      <c r="B16" s="91">
        <f>LOOKUP(A16,CO2_Valuation!A:A,CO2_Valuation!B:B)*('LCA indata_EF'!$E$3+'LCA indata_EF'!$I$3)</f>
        <v>38237.712181981275</v>
      </c>
      <c r="C16" s="92">
        <f>LOOKUP(A16,CO2_Valuation!A:A,CO2_Valuation!B:B)*('LCA indata_EF'!$E$6+'LCA indata_EF'!$I$6)</f>
        <v>27135.832984281209</v>
      </c>
      <c r="D16" s="93"/>
      <c r="E16" s="91"/>
      <c r="F16" s="89"/>
      <c r="G16" s="95"/>
    </row>
    <row r="17" spans="1:7" x14ac:dyDescent="0.3">
      <c r="A17" s="118">
        <f t="shared" si="0"/>
        <v>2039</v>
      </c>
      <c r="B17" s="91">
        <f>LOOKUP(A17,CO2_Valuation!A:A,CO2_Valuation!B:B)*('LCA indata_EF'!$E$3+'LCA indata_EF'!$I$3)</f>
        <v>39564.812201021894</v>
      </c>
      <c r="C17" s="92">
        <f>LOOKUP(A17,CO2_Valuation!A:A,CO2_Valuation!B:B)*('LCA indata_EF'!$E$6+'LCA indata_EF'!$I$6)</f>
        <v>28077.624802231359</v>
      </c>
      <c r="D17" s="93"/>
      <c r="E17" s="91"/>
      <c r="F17" s="89"/>
      <c r="G17" s="95"/>
    </row>
    <row r="18" spans="1:7" x14ac:dyDescent="0.3">
      <c r="A18" s="118">
        <f t="shared" si="0"/>
        <v>2040</v>
      </c>
      <c r="B18" s="91">
        <f>LOOKUP(A18,CO2_Valuation!A:A,CO2_Valuation!B:B)*('LCA indata_EF'!$E$3+'LCA indata_EF'!$I$3)</f>
        <v>40891.912220062513</v>
      </c>
      <c r="C18" s="92">
        <f>LOOKUP(A18,CO2_Valuation!A:A,CO2_Valuation!B:B)*('LCA indata_EF'!$E$6+'LCA indata_EF'!$I$6)</f>
        <v>29019.416620181506</v>
      </c>
      <c r="D18" s="93"/>
      <c r="E18" s="91"/>
      <c r="F18" s="89"/>
      <c r="G18" s="95"/>
    </row>
    <row r="19" spans="1:7" x14ac:dyDescent="0.3">
      <c r="A19" s="118">
        <f t="shared" si="0"/>
        <v>2041</v>
      </c>
      <c r="B19" s="91">
        <f>LOOKUP(A19,CO2_Valuation!A:A,CO2_Valuation!B:B)*('LCA indata_EF'!$E$3+'LCA indata_EF'!$I$3)</f>
        <v>42219.012239103133</v>
      </c>
      <c r="C19" s="92">
        <f>LOOKUP(A19,CO2_Valuation!A:A,CO2_Valuation!B:B)*('LCA indata_EF'!$E$6+'LCA indata_EF'!$I$6)</f>
        <v>29961.208438131656</v>
      </c>
      <c r="D19" s="93"/>
      <c r="E19" s="91"/>
      <c r="F19" s="89"/>
      <c r="G19" s="95"/>
    </row>
    <row r="20" spans="1:7" x14ac:dyDescent="0.3">
      <c r="A20" s="118">
        <f t="shared" si="0"/>
        <v>2042</v>
      </c>
      <c r="B20" s="91">
        <f>LOOKUP(A20,CO2_Valuation!A:A,CO2_Valuation!B:B)*('LCA indata_EF'!$E$3+'LCA indata_EF'!$I$3)</f>
        <v>43546.112258143752</v>
      </c>
      <c r="C20" s="92">
        <f>LOOKUP(A20,CO2_Valuation!A:A,CO2_Valuation!B:B)*('LCA indata_EF'!$E$6+'LCA indata_EF'!$I$6)</f>
        <v>30903.000256081803</v>
      </c>
      <c r="D20" s="93"/>
      <c r="E20" s="91"/>
      <c r="F20" s="89"/>
      <c r="G20" s="95"/>
    </row>
    <row r="21" spans="1:7" x14ac:dyDescent="0.3">
      <c r="A21" s="118">
        <f t="shared" si="0"/>
        <v>2043</v>
      </c>
      <c r="B21" s="91">
        <f>LOOKUP(A21,CO2_Valuation!A:A,CO2_Valuation!B:B)*('LCA indata_EF'!$E$3+'LCA indata_EF'!$I$3)</f>
        <v>44873.212277184371</v>
      </c>
      <c r="C21" s="92">
        <f>LOOKUP(A21,CO2_Valuation!A:A,CO2_Valuation!B:B)*('LCA indata_EF'!$E$6+'LCA indata_EF'!$I$6)</f>
        <v>31844.792074031953</v>
      </c>
      <c r="D21" s="93"/>
      <c r="E21" s="91"/>
      <c r="F21" s="89"/>
      <c r="G21" s="95"/>
    </row>
    <row r="22" spans="1:7" x14ac:dyDescent="0.3">
      <c r="A22" s="118">
        <f t="shared" si="0"/>
        <v>2044</v>
      </c>
      <c r="B22" s="91">
        <f>LOOKUP(A22,CO2_Valuation!A:A,CO2_Valuation!B:B)*('LCA indata_EF'!$E$3+'LCA indata_EF'!$I$3)</f>
        <v>46200.312296224991</v>
      </c>
      <c r="C22" s="92">
        <f>LOOKUP(A22,CO2_Valuation!A:A,CO2_Valuation!B:B)*('LCA indata_EF'!$E$6+'LCA indata_EF'!$I$6)</f>
        <v>32786.583891982104</v>
      </c>
      <c r="D22" s="93"/>
      <c r="E22" s="91"/>
      <c r="F22" s="89"/>
      <c r="G22" s="95"/>
    </row>
    <row r="23" spans="1:7" x14ac:dyDescent="0.3">
      <c r="A23" s="118">
        <f t="shared" si="0"/>
        <v>2045</v>
      </c>
      <c r="B23" s="91">
        <f>LOOKUP(A23,CO2_Valuation!A:A,CO2_Valuation!B:B)*('LCA indata_EF'!$E$3+'LCA indata_EF'!$I$3)</f>
        <v>47527.41231526561</v>
      </c>
      <c r="C23" s="92">
        <f>LOOKUP(A23,CO2_Valuation!A:A,CO2_Valuation!B:B)*('LCA indata_EF'!$E$6+'LCA indata_EF'!$I$6)</f>
        <v>33728.375709932247</v>
      </c>
      <c r="D23" s="93"/>
      <c r="E23" s="91"/>
      <c r="F23" s="89"/>
      <c r="G23" s="95"/>
    </row>
    <row r="24" spans="1:7" x14ac:dyDescent="0.3">
      <c r="A24" s="118">
        <f t="shared" si="0"/>
        <v>2046</v>
      </c>
      <c r="B24" s="91">
        <f>LOOKUP(A24,CO2_Valuation!A:A,CO2_Valuation!B:B)*('LCA indata_EF'!$E$3+'LCA indata_EF'!$I$3)</f>
        <v>47685.433267892127</v>
      </c>
      <c r="C24" s="92">
        <f>LOOKUP(A24,CO2_Valuation!A:A,CO2_Valuation!B:B)*('LCA indata_EF'!$E$6+'LCA indata_EF'!$I$6)</f>
        <v>33840.517099513359</v>
      </c>
      <c r="D24" s="93"/>
      <c r="E24" s="91"/>
      <c r="F24" s="89"/>
      <c r="G24" s="95"/>
    </row>
    <row r="25" spans="1:7" x14ac:dyDescent="0.3">
      <c r="A25" s="118">
        <f t="shared" si="0"/>
        <v>2047</v>
      </c>
      <c r="B25" s="91">
        <f>LOOKUP(A25,CO2_Valuation!A:A,CO2_Valuation!B:B)*('LCA indata_EF'!$E$3+'LCA indata_EF'!$I$3)</f>
        <v>47768.882776110928</v>
      </c>
      <c r="C25" s="92">
        <f>LOOKUP(A25,CO2_Valuation!A:A,CO2_Valuation!B:B)*('LCA indata_EF'!$E$6+'LCA indata_EF'!$I$6)</f>
        <v>33899.73800443751</v>
      </c>
      <c r="D25" s="93"/>
      <c r="E25" s="91"/>
      <c r="F25" s="89"/>
      <c r="G25" s="95"/>
    </row>
    <row r="26" spans="1:7" x14ac:dyDescent="0.3">
      <c r="A26" s="118">
        <f t="shared" si="0"/>
        <v>2048</v>
      </c>
      <c r="B26" s="91">
        <f>LOOKUP(A26,CO2_Valuation!A:A,CO2_Valuation!B:B)*('LCA indata_EF'!$E$3+'LCA indata_EF'!$I$3)</f>
        <v>47852.478320969123</v>
      </c>
      <c r="C26" s="92">
        <f>LOOKUP(A26,CO2_Valuation!A:A,CO2_Valuation!B:B)*('LCA indata_EF'!$E$6+'LCA indata_EF'!$I$6)</f>
        <v>33959.062545945271</v>
      </c>
      <c r="D26" s="93"/>
      <c r="E26" s="91"/>
      <c r="F26" s="89"/>
      <c r="G26" s="95"/>
    </row>
    <row r="27" spans="1:7" x14ac:dyDescent="0.3">
      <c r="A27" s="118">
        <f t="shared" si="0"/>
        <v>2049</v>
      </c>
      <c r="B27" s="91">
        <f>LOOKUP(A27,CO2_Valuation!A:A,CO2_Valuation!B:B)*('LCA indata_EF'!$E$3+'LCA indata_EF'!$I$3)</f>
        <v>47936.22015803081</v>
      </c>
      <c r="C27" s="92">
        <f>LOOKUP(A27,CO2_Valuation!A:A,CO2_Valuation!B:B)*('LCA indata_EF'!$E$6+'LCA indata_EF'!$I$6)</f>
        <v>34018.490905400671</v>
      </c>
      <c r="D27" s="93"/>
      <c r="E27" s="91"/>
      <c r="F27" s="89"/>
      <c r="G27" s="95"/>
    </row>
    <row r="28" spans="1:7" x14ac:dyDescent="0.3">
      <c r="A28" s="118">
        <f t="shared" si="0"/>
        <v>2050</v>
      </c>
      <c r="B28" s="91">
        <f>LOOKUP(A28,CO2_Valuation!A:A,CO2_Valuation!B:B)*('LCA indata_EF'!$E$3+'LCA indata_EF'!$I$3)</f>
        <v>48020.10854330736</v>
      </c>
      <c r="C28" s="92">
        <f>LOOKUP(A28,CO2_Valuation!A:A,CO2_Valuation!B:B)*('LCA indata_EF'!$E$6+'LCA indata_EF'!$I$6)</f>
        <v>34078.02326448512</v>
      </c>
      <c r="D28" s="93"/>
      <c r="E28" s="91"/>
      <c r="F28" s="89"/>
      <c r="G28" s="95"/>
    </row>
    <row r="29" spans="1:7" x14ac:dyDescent="0.3">
      <c r="A29" s="118">
        <f t="shared" si="0"/>
        <v>2051</v>
      </c>
      <c r="B29" s="91">
        <f>LOOKUP(A29,CO2_Valuation!A:A,CO2_Valuation!B:B)*('LCA indata_EF'!$E$3+'LCA indata_EF'!$I$3)</f>
        <v>48104.143733258148</v>
      </c>
      <c r="C29" s="92">
        <f>LOOKUP(A29,CO2_Valuation!A:A,CO2_Valuation!B:B)*('LCA indata_EF'!$E$6+'LCA indata_EF'!$I$6)</f>
        <v>34137.659805197967</v>
      </c>
      <c r="D29" s="93"/>
      <c r="E29" s="91"/>
      <c r="F29" s="89"/>
      <c r="G29" s="95"/>
    </row>
    <row r="30" spans="1:7" x14ac:dyDescent="0.3">
      <c r="A30" s="118">
        <f t="shared" si="0"/>
        <v>2052</v>
      </c>
      <c r="B30" s="91">
        <f>LOOKUP(A30,CO2_Valuation!A:A,CO2_Valuation!B:B)*('LCA indata_EF'!$E$3+'LCA indata_EF'!$I$3)</f>
        <v>48188.32598479135</v>
      </c>
      <c r="C30" s="92">
        <f>LOOKUP(A30,CO2_Valuation!A:A,CO2_Valuation!B:B)*('LCA indata_EF'!$E$6+'LCA indata_EF'!$I$6)</f>
        <v>34197.400709857066</v>
      </c>
      <c r="D30" s="93"/>
      <c r="E30" s="91"/>
      <c r="F30" s="89"/>
      <c r="G30" s="95"/>
    </row>
    <row r="31" spans="1:7" x14ac:dyDescent="0.3">
      <c r="A31" s="118">
        <f t="shared" si="0"/>
        <v>2053</v>
      </c>
      <c r="B31" s="91">
        <f>LOOKUP(A31,CO2_Valuation!A:A,CO2_Valuation!B:B)*('LCA indata_EF'!$E$3+'LCA indata_EF'!$I$3)</f>
        <v>48272.655555264726</v>
      </c>
      <c r="C31" s="92">
        <f>LOOKUP(A31,CO2_Valuation!A:A,CO2_Valuation!B:B)*('LCA indata_EF'!$E$6+'LCA indata_EF'!$I$6)</f>
        <v>34257.246161099305</v>
      </c>
      <c r="D31" s="93"/>
      <c r="E31" s="91"/>
      <c r="F31" s="89"/>
      <c r="G31" s="95"/>
    </row>
    <row r="32" spans="1:7" x14ac:dyDescent="0.3">
      <c r="A32" s="118">
        <f t="shared" si="0"/>
        <v>2054</v>
      </c>
      <c r="B32" s="94"/>
      <c r="C32" s="89"/>
      <c r="D32" s="95"/>
      <c r="F32" s="89"/>
      <c r="G32" s="95"/>
    </row>
    <row r="33" spans="1:7" x14ac:dyDescent="0.3">
      <c r="A33" s="118">
        <f t="shared" si="0"/>
        <v>2055</v>
      </c>
      <c r="B33" s="94"/>
      <c r="C33" s="89"/>
      <c r="D33" s="95"/>
      <c r="F33" s="89"/>
      <c r="G33" s="95"/>
    </row>
    <row r="34" spans="1:7" x14ac:dyDescent="0.3">
      <c r="A34" s="118">
        <f t="shared" si="0"/>
        <v>2056</v>
      </c>
      <c r="B34" s="94"/>
      <c r="C34" s="89"/>
      <c r="D34" s="95"/>
      <c r="F34" s="89"/>
      <c r="G34" s="95"/>
    </row>
    <row r="35" spans="1:7" x14ac:dyDescent="0.3">
      <c r="A35" s="118">
        <f t="shared" si="0"/>
        <v>2057</v>
      </c>
      <c r="B35" s="94"/>
      <c r="C35" s="89"/>
      <c r="D35" s="95"/>
      <c r="F35" s="89"/>
      <c r="G35" s="95"/>
    </row>
    <row r="36" spans="1:7" x14ac:dyDescent="0.3">
      <c r="A36" s="118">
        <f t="shared" si="0"/>
        <v>2058</v>
      </c>
      <c r="B36" s="94"/>
      <c r="C36" s="89"/>
      <c r="D36" s="95"/>
      <c r="F36" s="89"/>
      <c r="G36" s="95"/>
    </row>
    <row r="37" spans="1:7" x14ac:dyDescent="0.3">
      <c r="A37" s="118">
        <f t="shared" si="0"/>
        <v>2059</v>
      </c>
      <c r="B37" s="94"/>
      <c r="C37" s="89"/>
      <c r="D37" s="95"/>
      <c r="F37" s="89"/>
      <c r="G37" s="95"/>
    </row>
    <row r="38" spans="1:7" x14ac:dyDescent="0.3">
      <c r="A38" s="118">
        <f t="shared" si="0"/>
        <v>2060</v>
      </c>
      <c r="B38" s="94"/>
      <c r="C38" s="89"/>
      <c r="D38" s="95"/>
      <c r="F38" s="89"/>
      <c r="G38" s="95"/>
    </row>
    <row r="39" spans="1:7" x14ac:dyDescent="0.3">
      <c r="A39" s="118">
        <f t="shared" si="0"/>
        <v>2061</v>
      </c>
      <c r="B39" s="94"/>
      <c r="C39" s="89"/>
      <c r="D39" s="95"/>
      <c r="F39" s="89"/>
      <c r="G39" s="95"/>
    </row>
    <row r="40" spans="1:7" x14ac:dyDescent="0.3">
      <c r="A40" s="118">
        <f t="shared" si="0"/>
        <v>2062</v>
      </c>
      <c r="B40" s="94"/>
      <c r="C40" s="89"/>
      <c r="D40" s="95"/>
      <c r="F40" s="89"/>
      <c r="G40" s="95"/>
    </row>
    <row r="41" spans="1:7" x14ac:dyDescent="0.3">
      <c r="A41" s="118">
        <f t="shared" si="0"/>
        <v>2063</v>
      </c>
      <c r="B41" s="94"/>
      <c r="C41" s="89"/>
      <c r="D41" s="95"/>
      <c r="F41" s="89"/>
      <c r="G41" s="95"/>
    </row>
    <row r="42" spans="1:7" x14ac:dyDescent="0.3">
      <c r="A42" s="118">
        <f t="shared" si="0"/>
        <v>2064</v>
      </c>
      <c r="B42" s="94"/>
      <c r="C42" s="89"/>
      <c r="D42" s="95"/>
      <c r="F42" s="89"/>
      <c r="G42" s="95"/>
    </row>
    <row r="43" spans="1:7" x14ac:dyDescent="0.3">
      <c r="A43" s="118">
        <f t="shared" si="0"/>
        <v>2065</v>
      </c>
      <c r="B43" s="94"/>
      <c r="C43" s="89"/>
      <c r="D43" s="95"/>
      <c r="F43" s="89"/>
      <c r="G43" s="95"/>
    </row>
    <row r="44" spans="1:7" x14ac:dyDescent="0.3">
      <c r="A44" s="118">
        <f t="shared" si="0"/>
        <v>2066</v>
      </c>
      <c r="B44" s="94"/>
      <c r="C44" s="89"/>
      <c r="D44" s="95"/>
      <c r="F44" s="89"/>
      <c r="G44" s="95"/>
    </row>
    <row r="45" spans="1:7" x14ac:dyDescent="0.3">
      <c r="A45" s="118">
        <f t="shared" si="0"/>
        <v>2067</v>
      </c>
      <c r="B45" s="94"/>
      <c r="C45" s="89"/>
      <c r="D45" s="95"/>
      <c r="F45" s="89"/>
      <c r="G45" s="95"/>
    </row>
    <row r="46" spans="1:7" x14ac:dyDescent="0.3">
      <c r="A46" s="118">
        <f t="shared" si="0"/>
        <v>2068</v>
      </c>
      <c r="B46" s="94"/>
      <c r="C46" s="89"/>
      <c r="D46" s="95"/>
      <c r="F46" s="89"/>
      <c r="G46" s="95"/>
    </row>
    <row r="47" spans="1:7" x14ac:dyDescent="0.3">
      <c r="A47" s="118">
        <f t="shared" si="0"/>
        <v>2069</v>
      </c>
      <c r="B47" s="94"/>
      <c r="C47" s="89"/>
      <c r="D47" s="95"/>
      <c r="F47" s="89"/>
      <c r="G47" s="95"/>
    </row>
    <row r="48" spans="1:7" x14ac:dyDescent="0.3">
      <c r="A48" s="118">
        <f t="shared" si="0"/>
        <v>2070</v>
      </c>
      <c r="B48" s="94"/>
      <c r="C48" s="89"/>
      <c r="D48" s="95"/>
      <c r="F48" s="89"/>
      <c r="G48" s="95"/>
    </row>
    <row r="49" spans="1:7" x14ac:dyDescent="0.3">
      <c r="A49" s="118">
        <f t="shared" si="0"/>
        <v>2071</v>
      </c>
      <c r="B49" s="94"/>
      <c r="C49" s="89"/>
      <c r="D49" s="95"/>
      <c r="F49" s="89"/>
      <c r="G49" s="95"/>
    </row>
    <row r="50" spans="1:7" x14ac:dyDescent="0.3">
      <c r="A50" s="118">
        <f t="shared" si="0"/>
        <v>2072</v>
      </c>
      <c r="B50" s="94"/>
      <c r="C50" s="89"/>
      <c r="D50" s="95"/>
      <c r="F50" s="89"/>
      <c r="G50" s="95"/>
    </row>
    <row r="51" spans="1:7" x14ac:dyDescent="0.3">
      <c r="A51" s="118">
        <f t="shared" si="0"/>
        <v>2073</v>
      </c>
      <c r="B51" s="94"/>
      <c r="C51" s="89"/>
      <c r="D51" s="95"/>
      <c r="F51" s="89"/>
      <c r="G51" s="95"/>
    </row>
    <row r="52" spans="1:7" x14ac:dyDescent="0.3">
      <c r="A52" s="118">
        <f t="shared" si="0"/>
        <v>2074</v>
      </c>
      <c r="B52" s="94"/>
      <c r="C52" s="89"/>
      <c r="D52" s="95"/>
      <c r="F52" s="89"/>
      <c r="G52" s="95"/>
    </row>
    <row r="53" spans="1:7" x14ac:dyDescent="0.3">
      <c r="A53" s="118">
        <f t="shared" si="0"/>
        <v>2075</v>
      </c>
      <c r="B53" s="94"/>
      <c r="C53" s="89"/>
      <c r="D53" s="95"/>
      <c r="F53" s="89"/>
      <c r="G53" s="95"/>
    </row>
    <row r="54" spans="1:7" x14ac:dyDescent="0.3">
      <c r="A54" s="118">
        <f t="shared" si="0"/>
        <v>2076</v>
      </c>
      <c r="B54" s="94"/>
      <c r="C54" s="89"/>
      <c r="D54" s="95"/>
      <c r="F54" s="89"/>
      <c r="G54" s="95"/>
    </row>
    <row r="55" spans="1:7" x14ac:dyDescent="0.3">
      <c r="A55" s="118">
        <f t="shared" si="0"/>
        <v>2077</v>
      </c>
      <c r="B55" s="94"/>
      <c r="C55" s="89"/>
      <c r="D55" s="95"/>
      <c r="F55" s="89"/>
      <c r="G55" s="95"/>
    </row>
    <row r="56" spans="1:7" x14ac:dyDescent="0.3">
      <c r="A56" s="118">
        <f t="shared" si="0"/>
        <v>2078</v>
      </c>
      <c r="B56" s="94"/>
      <c r="C56" s="89"/>
      <c r="D56" s="95"/>
      <c r="F56" s="89"/>
      <c r="G56" s="95"/>
    </row>
    <row r="57" spans="1:7" x14ac:dyDescent="0.3">
      <c r="A57" s="118">
        <f t="shared" si="0"/>
        <v>2079</v>
      </c>
      <c r="B57" s="94"/>
      <c r="C57" s="89"/>
      <c r="D57" s="95"/>
      <c r="F57" s="89"/>
      <c r="G57" s="95"/>
    </row>
    <row r="58" spans="1:7" x14ac:dyDescent="0.3">
      <c r="A58" s="118">
        <f t="shared" si="0"/>
        <v>2080</v>
      </c>
      <c r="B58" s="94"/>
      <c r="C58" s="89"/>
      <c r="D58" s="95"/>
      <c r="F58" s="89"/>
      <c r="G58" s="95"/>
    </row>
    <row r="59" spans="1:7" x14ac:dyDescent="0.3">
      <c r="A59" s="118">
        <f t="shared" si="0"/>
        <v>2081</v>
      </c>
      <c r="B59" s="94"/>
      <c r="C59" s="89"/>
      <c r="D59" s="95"/>
      <c r="F59" s="89"/>
      <c r="G59" s="95"/>
    </row>
    <row r="60" spans="1:7" x14ac:dyDescent="0.3">
      <c r="A60" s="118">
        <f t="shared" si="0"/>
        <v>2082</v>
      </c>
      <c r="B60" s="94"/>
      <c r="C60" s="89"/>
      <c r="D60" s="95"/>
      <c r="F60" s="89"/>
      <c r="G60" s="95"/>
    </row>
    <row r="61" spans="1:7" x14ac:dyDescent="0.3">
      <c r="A61" s="118">
        <f t="shared" si="0"/>
        <v>2083</v>
      </c>
      <c r="B61" s="94"/>
      <c r="C61" s="89"/>
      <c r="D61" s="95"/>
      <c r="F61" s="89"/>
      <c r="G61" s="95"/>
    </row>
    <row r="62" spans="1:7" x14ac:dyDescent="0.3">
      <c r="A62" s="118">
        <f t="shared" si="0"/>
        <v>2084</v>
      </c>
      <c r="B62" s="94"/>
      <c r="C62" s="89"/>
      <c r="D62" s="95"/>
      <c r="F62" s="89"/>
      <c r="G62" s="95"/>
    </row>
    <row r="63" spans="1:7" x14ac:dyDescent="0.3">
      <c r="A63" s="118">
        <f t="shared" si="0"/>
        <v>2085</v>
      </c>
      <c r="B63" s="94"/>
      <c r="C63" s="89"/>
      <c r="D63" s="95"/>
      <c r="F63" s="89"/>
      <c r="G63" s="95"/>
    </row>
    <row r="64" spans="1:7" x14ac:dyDescent="0.3">
      <c r="A64" s="118">
        <f t="shared" si="0"/>
        <v>2086</v>
      </c>
      <c r="B64" s="94"/>
      <c r="C64" s="89"/>
      <c r="D64" s="95"/>
      <c r="F64" s="89"/>
      <c r="G64" s="95"/>
    </row>
    <row r="65" spans="1:7" x14ac:dyDescent="0.3">
      <c r="A65" s="118">
        <f t="shared" si="0"/>
        <v>2087</v>
      </c>
      <c r="B65" s="94"/>
      <c r="C65" s="89"/>
      <c r="D65" s="95"/>
      <c r="F65" s="89"/>
      <c r="G65" s="95"/>
    </row>
    <row r="66" spans="1:7" x14ac:dyDescent="0.3">
      <c r="A66" s="118">
        <f t="shared" si="0"/>
        <v>2088</v>
      </c>
      <c r="B66" s="94"/>
      <c r="C66" s="89"/>
      <c r="D66" s="95"/>
      <c r="F66" s="89"/>
      <c r="G66" s="95"/>
    </row>
    <row r="67" spans="1:7" x14ac:dyDescent="0.3">
      <c r="A67" s="118">
        <f t="shared" si="0"/>
        <v>2089</v>
      </c>
      <c r="B67" s="94"/>
      <c r="C67" s="89"/>
      <c r="D67" s="95"/>
      <c r="F67" s="89"/>
      <c r="G67" s="95"/>
    </row>
    <row r="68" spans="1:7" x14ac:dyDescent="0.3">
      <c r="A68" s="118">
        <f t="shared" si="0"/>
        <v>2090</v>
      </c>
      <c r="B68" s="94"/>
      <c r="C68" s="89"/>
      <c r="D68" s="95"/>
      <c r="F68" s="89"/>
      <c r="G68" s="95"/>
    </row>
    <row r="69" spans="1:7" x14ac:dyDescent="0.3">
      <c r="A69" s="118">
        <f t="shared" ref="A69:A103" si="1">A68+1</f>
        <v>2091</v>
      </c>
      <c r="B69" s="94"/>
      <c r="C69" s="89"/>
      <c r="D69" s="95"/>
      <c r="F69" s="89"/>
      <c r="G69" s="95"/>
    </row>
    <row r="70" spans="1:7" x14ac:dyDescent="0.3">
      <c r="A70" s="118">
        <f t="shared" si="1"/>
        <v>2092</v>
      </c>
      <c r="B70" s="94"/>
      <c r="C70" s="89"/>
      <c r="D70" s="95"/>
      <c r="F70" s="89"/>
      <c r="G70" s="95"/>
    </row>
    <row r="71" spans="1:7" x14ac:dyDescent="0.3">
      <c r="A71" s="118">
        <f t="shared" si="1"/>
        <v>2093</v>
      </c>
      <c r="B71" s="94"/>
      <c r="C71" s="89"/>
      <c r="D71" s="95"/>
      <c r="F71" s="89"/>
      <c r="G71" s="95"/>
    </row>
    <row r="72" spans="1:7" x14ac:dyDescent="0.3">
      <c r="A72" s="118">
        <f t="shared" si="1"/>
        <v>2094</v>
      </c>
      <c r="B72" s="94"/>
      <c r="C72" s="89"/>
      <c r="D72" s="95"/>
      <c r="F72" s="89"/>
      <c r="G72" s="95"/>
    </row>
    <row r="73" spans="1:7" x14ac:dyDescent="0.3">
      <c r="A73" s="118">
        <f t="shared" si="1"/>
        <v>2095</v>
      </c>
      <c r="B73" s="94"/>
      <c r="C73" s="89"/>
      <c r="D73" s="95"/>
      <c r="F73" s="89"/>
      <c r="G73" s="95"/>
    </row>
    <row r="74" spans="1:7" x14ac:dyDescent="0.3">
      <c r="A74" s="118">
        <f t="shared" si="1"/>
        <v>2096</v>
      </c>
      <c r="B74" s="94"/>
      <c r="C74" s="89"/>
      <c r="D74" s="95"/>
      <c r="F74" s="89"/>
      <c r="G74" s="95"/>
    </row>
    <row r="75" spans="1:7" x14ac:dyDescent="0.3">
      <c r="A75" s="118">
        <f t="shared" si="1"/>
        <v>2097</v>
      </c>
      <c r="B75" s="94"/>
      <c r="C75" s="89"/>
      <c r="D75" s="95"/>
      <c r="F75" s="89"/>
      <c r="G75" s="95"/>
    </row>
    <row r="76" spans="1:7" x14ac:dyDescent="0.3">
      <c r="A76" s="118">
        <f t="shared" si="1"/>
        <v>2098</v>
      </c>
      <c r="B76" s="94"/>
      <c r="C76" s="89"/>
      <c r="D76" s="95"/>
      <c r="F76" s="89"/>
      <c r="G76" s="95"/>
    </row>
    <row r="77" spans="1:7" x14ac:dyDescent="0.3">
      <c r="A77" s="118">
        <f t="shared" si="1"/>
        <v>2099</v>
      </c>
      <c r="B77" s="94"/>
      <c r="C77" s="89"/>
      <c r="D77" s="95"/>
      <c r="F77" s="89"/>
      <c r="G77" s="95"/>
    </row>
    <row r="78" spans="1:7" x14ac:dyDescent="0.3">
      <c r="A78" s="118">
        <f t="shared" si="1"/>
        <v>2100</v>
      </c>
      <c r="B78" s="94"/>
      <c r="C78" s="89"/>
      <c r="D78" s="95"/>
      <c r="F78" s="89"/>
      <c r="G78" s="95"/>
    </row>
    <row r="79" spans="1:7" x14ac:dyDescent="0.3">
      <c r="A79" s="118">
        <f t="shared" si="1"/>
        <v>2101</v>
      </c>
      <c r="B79" s="94"/>
      <c r="C79" s="89"/>
      <c r="D79" s="95"/>
      <c r="F79" s="89"/>
      <c r="G79" s="95"/>
    </row>
    <row r="80" spans="1:7" x14ac:dyDescent="0.3">
      <c r="A80" s="118">
        <f t="shared" si="1"/>
        <v>2102</v>
      </c>
      <c r="B80" s="94"/>
      <c r="C80" s="89"/>
      <c r="D80" s="95"/>
      <c r="F80" s="89"/>
      <c r="G80" s="95"/>
    </row>
    <row r="81" spans="1:7" x14ac:dyDescent="0.3">
      <c r="A81" s="118">
        <f t="shared" si="1"/>
        <v>2103</v>
      </c>
      <c r="B81" s="94"/>
      <c r="C81" s="89"/>
      <c r="D81" s="95"/>
      <c r="F81" s="89"/>
      <c r="G81" s="95"/>
    </row>
    <row r="82" spans="1:7" x14ac:dyDescent="0.3">
      <c r="A82" s="118">
        <f t="shared" si="1"/>
        <v>2104</v>
      </c>
      <c r="B82" s="94"/>
      <c r="C82" s="89"/>
      <c r="D82" s="95"/>
      <c r="F82" s="89"/>
      <c r="G82" s="95"/>
    </row>
    <row r="83" spans="1:7" x14ac:dyDescent="0.3">
      <c r="A83" s="118">
        <f t="shared" si="1"/>
        <v>2105</v>
      </c>
      <c r="B83" s="94"/>
      <c r="C83" s="89"/>
      <c r="D83" s="95"/>
      <c r="F83" s="89"/>
      <c r="G83" s="95"/>
    </row>
    <row r="84" spans="1:7" x14ac:dyDescent="0.3">
      <c r="A84" s="118">
        <f t="shared" si="1"/>
        <v>2106</v>
      </c>
      <c r="B84" s="94"/>
      <c r="C84" s="89"/>
      <c r="D84" s="95"/>
      <c r="F84" s="89"/>
      <c r="G84" s="95"/>
    </row>
    <row r="85" spans="1:7" x14ac:dyDescent="0.3">
      <c r="A85" s="118">
        <f t="shared" si="1"/>
        <v>2107</v>
      </c>
      <c r="B85" s="94"/>
      <c r="C85" s="89"/>
      <c r="D85" s="95"/>
      <c r="F85" s="89"/>
      <c r="G85" s="95"/>
    </row>
    <row r="86" spans="1:7" x14ac:dyDescent="0.3">
      <c r="A86" s="118">
        <f t="shared" si="1"/>
        <v>2108</v>
      </c>
      <c r="B86" s="94"/>
      <c r="C86" s="89"/>
      <c r="D86" s="95"/>
      <c r="F86" s="89"/>
      <c r="G86" s="95"/>
    </row>
    <row r="87" spans="1:7" x14ac:dyDescent="0.3">
      <c r="A87" s="118">
        <f t="shared" si="1"/>
        <v>2109</v>
      </c>
      <c r="B87" s="94"/>
      <c r="C87" s="89"/>
      <c r="D87" s="95"/>
      <c r="F87" s="89"/>
      <c r="G87" s="95"/>
    </row>
    <row r="88" spans="1:7" x14ac:dyDescent="0.3">
      <c r="A88" s="118">
        <f t="shared" si="1"/>
        <v>2110</v>
      </c>
      <c r="B88" s="94"/>
      <c r="C88" s="89"/>
      <c r="D88" s="95"/>
      <c r="F88" s="89"/>
      <c r="G88" s="95"/>
    </row>
    <row r="89" spans="1:7" x14ac:dyDescent="0.3">
      <c r="A89" s="118">
        <f t="shared" si="1"/>
        <v>2111</v>
      </c>
      <c r="B89" s="94"/>
      <c r="C89" s="89"/>
      <c r="D89" s="95"/>
      <c r="F89" s="89"/>
      <c r="G89" s="95"/>
    </row>
    <row r="90" spans="1:7" x14ac:dyDescent="0.3">
      <c r="A90" s="118">
        <f t="shared" si="1"/>
        <v>2112</v>
      </c>
      <c r="B90" s="94"/>
      <c r="C90" s="89"/>
      <c r="D90" s="95"/>
      <c r="F90" s="89"/>
      <c r="G90" s="95"/>
    </row>
    <row r="91" spans="1:7" x14ac:dyDescent="0.3">
      <c r="A91" s="118">
        <f t="shared" si="1"/>
        <v>2113</v>
      </c>
      <c r="B91" s="94"/>
      <c r="C91" s="89"/>
      <c r="D91" s="95"/>
      <c r="F91" s="89"/>
      <c r="G91" s="95"/>
    </row>
    <row r="92" spans="1:7" x14ac:dyDescent="0.3">
      <c r="A92" s="118">
        <f t="shared" si="1"/>
        <v>2114</v>
      </c>
      <c r="B92" s="94"/>
      <c r="C92" s="89"/>
      <c r="D92" s="95"/>
      <c r="F92" s="89"/>
      <c r="G92" s="95"/>
    </row>
    <row r="93" spans="1:7" x14ac:dyDescent="0.3">
      <c r="A93" s="118">
        <f t="shared" si="1"/>
        <v>2115</v>
      </c>
      <c r="B93" s="94"/>
      <c r="C93" s="89"/>
      <c r="D93" s="95"/>
      <c r="F93" s="89"/>
      <c r="G93" s="95"/>
    </row>
    <row r="94" spans="1:7" x14ac:dyDescent="0.3">
      <c r="A94" s="118">
        <f t="shared" si="1"/>
        <v>2116</v>
      </c>
      <c r="B94" s="94"/>
      <c r="C94" s="89"/>
      <c r="D94" s="95"/>
      <c r="F94" s="89"/>
      <c r="G94" s="95"/>
    </row>
    <row r="95" spans="1:7" x14ac:dyDescent="0.3">
      <c r="A95" s="118">
        <f t="shared" si="1"/>
        <v>2117</v>
      </c>
      <c r="B95" s="94"/>
      <c r="C95" s="89"/>
      <c r="D95" s="95"/>
      <c r="F95" s="89"/>
      <c r="G95" s="95"/>
    </row>
    <row r="96" spans="1:7" x14ac:dyDescent="0.3">
      <c r="A96" s="118">
        <f t="shared" si="1"/>
        <v>2118</v>
      </c>
      <c r="B96" s="94"/>
      <c r="C96" s="89"/>
      <c r="D96" s="95"/>
      <c r="F96" s="89"/>
      <c r="G96" s="95"/>
    </row>
    <row r="97" spans="1:7" x14ac:dyDescent="0.3">
      <c r="A97" s="118">
        <f t="shared" si="1"/>
        <v>2119</v>
      </c>
      <c r="B97" s="94"/>
      <c r="C97" s="89"/>
      <c r="D97" s="95"/>
      <c r="F97" s="89"/>
      <c r="G97" s="95"/>
    </row>
    <row r="98" spans="1:7" x14ac:dyDescent="0.3">
      <c r="A98" s="118">
        <f t="shared" si="1"/>
        <v>2120</v>
      </c>
      <c r="B98" s="94"/>
      <c r="C98" s="89"/>
      <c r="D98" s="95"/>
      <c r="F98" s="89"/>
      <c r="G98" s="95"/>
    </row>
    <row r="99" spans="1:7" x14ac:dyDescent="0.3">
      <c r="A99" s="118">
        <f t="shared" si="1"/>
        <v>2121</v>
      </c>
      <c r="B99" s="94"/>
      <c r="C99" s="89"/>
      <c r="D99" s="95"/>
      <c r="F99" s="89"/>
      <c r="G99" s="95"/>
    </row>
    <row r="100" spans="1:7" x14ac:dyDescent="0.3">
      <c r="A100" s="118">
        <f t="shared" si="1"/>
        <v>2122</v>
      </c>
      <c r="B100" s="94"/>
      <c r="C100" s="89"/>
      <c r="D100" s="95"/>
      <c r="F100" s="89"/>
      <c r="G100" s="95"/>
    </row>
    <row r="101" spans="1:7" x14ac:dyDescent="0.3">
      <c r="A101" s="118">
        <f t="shared" si="1"/>
        <v>2123</v>
      </c>
      <c r="B101" s="94"/>
      <c r="C101" s="89"/>
      <c r="D101" s="95"/>
      <c r="F101" s="89"/>
      <c r="G101" s="95"/>
    </row>
    <row r="102" spans="1:7" x14ac:dyDescent="0.3">
      <c r="A102" s="118">
        <f t="shared" si="1"/>
        <v>2124</v>
      </c>
      <c r="B102" s="94"/>
      <c r="C102" s="89"/>
      <c r="D102" s="95"/>
      <c r="F102" s="89"/>
      <c r="G102" s="95"/>
    </row>
    <row r="103" spans="1:7" x14ac:dyDescent="0.3">
      <c r="A103" s="119">
        <f t="shared" si="1"/>
        <v>2125</v>
      </c>
      <c r="B103" s="96"/>
      <c r="C103" s="97"/>
      <c r="D103" s="98"/>
      <c r="F103" s="97"/>
      <c r="G103" s="98"/>
    </row>
  </sheetData>
  <mergeCells count="2">
    <mergeCell ref="B1:D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E81E6-84A4-4797-A70A-3EF8DC212FF3}">
  <dimension ref="A1:BF107"/>
  <sheetViews>
    <sheetView zoomScale="70" zoomScaleNormal="70" workbookViewId="0">
      <pane ySplit="3" topLeftCell="A4" activePane="bottomLeft" state="frozen"/>
      <selection pane="bottomLeft" activeCell="AC46" sqref="AC46"/>
    </sheetView>
  </sheetViews>
  <sheetFormatPr defaultRowHeight="14.4" x14ac:dyDescent="0.3"/>
  <cols>
    <col min="1" max="1" width="33.5546875" customWidth="1"/>
    <col min="2" max="2" width="37.5546875" customWidth="1"/>
    <col min="3" max="3" width="43.44140625" customWidth="1"/>
    <col min="4" max="4" width="24.88671875" customWidth="1"/>
    <col min="5" max="5" width="14.44140625" bestFit="1" customWidth="1"/>
    <col min="6" max="6" width="16.33203125" bestFit="1" customWidth="1"/>
    <col min="7" max="7" width="14.88671875" bestFit="1" customWidth="1"/>
    <col min="8" max="8" width="19.33203125" customWidth="1"/>
    <col min="9" max="9" width="23.33203125" customWidth="1"/>
    <col min="10" max="10" width="2.6640625" customWidth="1"/>
    <col min="11" max="11" width="23.33203125" customWidth="1"/>
    <col min="12" max="12" width="25.6640625" customWidth="1"/>
    <col min="13" max="13" width="19.6640625" bestFit="1" customWidth="1"/>
    <col min="14" max="14" width="16.33203125" bestFit="1" customWidth="1"/>
    <col min="15" max="15" width="14.88671875" bestFit="1" customWidth="1"/>
    <col min="16" max="16" width="4.109375" customWidth="1"/>
    <col min="17" max="17" width="14.33203125" customWidth="1"/>
    <col min="18" max="18" width="22.33203125" customWidth="1"/>
    <col min="19" max="19" width="15.5546875" bestFit="1" customWidth="1"/>
    <col min="20" max="20" width="17.6640625" bestFit="1" customWidth="1"/>
    <col min="21" max="21" width="16" bestFit="1" customWidth="1"/>
    <col min="22" max="24" width="16" customWidth="1"/>
    <col min="25" max="25" width="3.5546875" customWidth="1"/>
    <col min="26" max="26" width="16" customWidth="1"/>
    <col min="27" max="27" width="15.5546875" bestFit="1" customWidth="1"/>
    <col min="28" max="28" width="17.6640625" bestFit="1" customWidth="1"/>
    <col min="29" max="29" width="16" bestFit="1" customWidth="1"/>
    <col min="30" max="32" width="16" customWidth="1"/>
    <col min="33" max="33" width="6.44140625" customWidth="1"/>
    <col min="34" max="34" width="25.109375" customWidth="1"/>
    <col min="35" max="35" width="21.33203125" customWidth="1"/>
    <col min="36" max="36" width="16.109375" customWidth="1"/>
    <col min="37" max="37" width="16" bestFit="1" customWidth="1"/>
    <col min="38" max="38" width="14.88671875" customWidth="1"/>
    <col min="39" max="39" width="12.109375" customWidth="1"/>
    <col min="40" max="41" width="14.33203125" customWidth="1"/>
    <col min="42" max="42" width="11.109375" customWidth="1"/>
    <col min="43" max="43" width="12.109375" customWidth="1"/>
    <col min="44" max="44" width="3.5546875" customWidth="1"/>
    <col min="45" max="45" width="10" customWidth="1"/>
    <col min="46" max="46" width="15.5546875" bestFit="1" customWidth="1"/>
    <col min="47" max="47" width="17.6640625" bestFit="1" customWidth="1"/>
    <col min="48" max="48" width="16" bestFit="1" customWidth="1"/>
    <col min="49" max="51" width="11.5546875" bestFit="1" customWidth="1"/>
    <col min="52" max="57" width="9" bestFit="1" customWidth="1"/>
  </cols>
  <sheetData>
    <row r="1" spans="1:58" ht="7.95" customHeight="1" x14ac:dyDescent="0.3">
      <c r="A1" s="33"/>
      <c r="B1" s="33"/>
      <c r="C1" s="33"/>
      <c r="D1" s="33"/>
      <c r="E1" s="33"/>
      <c r="F1" s="33"/>
      <c r="G1" s="33"/>
      <c r="H1" s="33"/>
      <c r="I1" s="33"/>
      <c r="J1" s="33"/>
      <c r="K1" s="77"/>
      <c r="L1" s="33"/>
      <c r="M1" s="33"/>
      <c r="N1" s="33"/>
      <c r="O1" s="33"/>
      <c r="P1" s="144"/>
    </row>
    <row r="2" spans="1:58" ht="18" x14ac:dyDescent="0.35">
      <c r="A2" s="69" t="s">
        <v>1</v>
      </c>
      <c r="B2" s="69" t="s">
        <v>2</v>
      </c>
      <c r="C2" s="69" t="s">
        <v>3</v>
      </c>
      <c r="D2" s="69" t="s">
        <v>4</v>
      </c>
      <c r="E2" s="107" t="s">
        <v>5</v>
      </c>
      <c r="F2" s="107" t="s">
        <v>6</v>
      </c>
      <c r="G2" s="107" t="s">
        <v>7</v>
      </c>
      <c r="H2" s="108" t="s">
        <v>8</v>
      </c>
      <c r="I2" s="127" t="s">
        <v>9</v>
      </c>
      <c r="J2" s="127"/>
      <c r="K2" s="138" t="s">
        <v>10</v>
      </c>
      <c r="L2" s="100" t="s">
        <v>11</v>
      </c>
      <c r="M2" s="107" t="s">
        <v>5</v>
      </c>
      <c r="N2" s="107" t="s">
        <v>6</v>
      </c>
      <c r="O2" s="107" t="s">
        <v>7</v>
      </c>
      <c r="P2" s="145"/>
      <c r="R2" s="83" t="s">
        <v>12</v>
      </c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85"/>
      <c r="AE2" s="85"/>
      <c r="AF2" s="85"/>
      <c r="AG2" s="85"/>
      <c r="AH2" s="83" t="s">
        <v>13</v>
      </c>
      <c r="AI2" s="237" t="s">
        <v>14</v>
      </c>
      <c r="AJ2" s="237"/>
      <c r="AK2" s="237"/>
      <c r="AL2" s="237" t="s">
        <v>15</v>
      </c>
      <c r="AM2" s="237"/>
      <c r="AN2" s="237"/>
      <c r="AO2" s="237"/>
      <c r="AP2" s="237"/>
      <c r="AQ2" s="237"/>
      <c r="AR2" s="84"/>
      <c r="AS2" s="84"/>
      <c r="AT2" s="237" t="s">
        <v>16</v>
      </c>
      <c r="AU2" s="237"/>
      <c r="AV2" s="237"/>
      <c r="AW2" s="237" t="s">
        <v>17</v>
      </c>
      <c r="AX2" s="237"/>
      <c r="AY2" s="237"/>
      <c r="AZ2" s="237"/>
      <c r="BA2" s="237"/>
      <c r="BB2" s="237"/>
      <c r="BC2" s="237"/>
      <c r="BD2" s="237"/>
      <c r="BE2" s="237"/>
    </row>
    <row r="3" spans="1:58" ht="7.95" customHeight="1" x14ac:dyDescent="0.3">
      <c r="A3" s="67"/>
      <c r="B3" s="33"/>
      <c r="C3" s="33"/>
      <c r="D3" s="33"/>
      <c r="E3" s="33"/>
      <c r="F3" s="33"/>
      <c r="G3" s="33"/>
      <c r="H3" s="33"/>
      <c r="I3" s="70"/>
      <c r="J3" s="70"/>
      <c r="K3" s="139"/>
      <c r="L3" s="33"/>
      <c r="M3" s="33"/>
      <c r="N3" s="33"/>
      <c r="O3" s="33"/>
      <c r="P3" s="14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</row>
    <row r="4" spans="1:58" ht="16.2" customHeight="1" thickBot="1" x14ac:dyDescent="0.35">
      <c r="A4" s="133" t="s">
        <v>19</v>
      </c>
      <c r="B4" s="68" t="s">
        <v>20</v>
      </c>
      <c r="C4" s="65" t="s">
        <v>21</v>
      </c>
      <c r="D4" s="65" t="s">
        <v>22</v>
      </c>
      <c r="E4" s="75">
        <v>60</v>
      </c>
      <c r="F4" s="76">
        <v>60</v>
      </c>
      <c r="G4" s="74">
        <v>60</v>
      </c>
      <c r="H4" s="61" t="s">
        <v>23</v>
      </c>
      <c r="I4" s="70"/>
      <c r="J4" s="70"/>
      <c r="K4" s="139"/>
      <c r="L4" s="33"/>
      <c r="M4" s="33"/>
      <c r="N4" s="33"/>
      <c r="O4" s="33"/>
      <c r="P4" s="14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53"/>
    </row>
    <row r="5" spans="1:58" x14ac:dyDescent="0.3">
      <c r="A5" s="68"/>
      <c r="B5" s="68"/>
      <c r="C5" s="33" t="s">
        <v>25</v>
      </c>
      <c r="D5" s="33" t="s">
        <v>22</v>
      </c>
      <c r="E5" s="111">
        <v>9</v>
      </c>
      <c r="F5" s="112">
        <v>9</v>
      </c>
      <c r="G5" s="113">
        <v>9</v>
      </c>
      <c r="H5" s="124" t="s">
        <v>26</v>
      </c>
      <c r="I5" s="123"/>
      <c r="J5" s="123"/>
      <c r="K5" s="140"/>
      <c r="L5" s="160" t="s">
        <v>14</v>
      </c>
      <c r="M5" s="161">
        <f>SUM(S7:S107)/E6</f>
        <v>16628.154915560641</v>
      </c>
      <c r="N5" s="162">
        <f>SUM(T7:T107)/F6</f>
        <v>16960.718013871854</v>
      </c>
      <c r="O5" s="163">
        <f>SUM(U7:U107)/G6</f>
        <v>19840.714445246958</v>
      </c>
      <c r="P5" s="146"/>
      <c r="R5" s="117"/>
      <c r="S5" s="241" t="s">
        <v>14</v>
      </c>
      <c r="T5" s="242"/>
      <c r="U5" s="243"/>
      <c r="V5" s="241" t="s">
        <v>15</v>
      </c>
      <c r="W5" s="242"/>
      <c r="X5" s="243"/>
      <c r="Y5" s="85"/>
      <c r="Z5" s="117"/>
      <c r="AA5" s="241" t="s">
        <v>16</v>
      </c>
      <c r="AB5" s="242"/>
      <c r="AC5" s="243"/>
      <c r="AD5" s="241" t="s">
        <v>27</v>
      </c>
      <c r="AE5" s="242"/>
      <c r="AF5" s="243"/>
      <c r="AG5" s="84"/>
      <c r="AH5" s="121"/>
      <c r="AI5" s="238" t="str">
        <f>C19</f>
        <v>Rail renewal (material + work)</v>
      </c>
      <c r="AJ5" s="239"/>
      <c r="AK5" s="240"/>
      <c r="AL5" s="238" t="str">
        <f>C22</f>
        <v>Disposal of rail waste (neg. value if benefit)</v>
      </c>
      <c r="AM5" s="239"/>
      <c r="AN5" s="240"/>
      <c r="AO5" s="238" t="str">
        <f>C16</f>
        <v>Residual (remaining service life of rail)</v>
      </c>
      <c r="AP5" s="239"/>
      <c r="AQ5" s="240"/>
      <c r="AR5" s="84"/>
      <c r="AS5" s="121"/>
      <c r="AT5" s="238" t="str">
        <f>C20</f>
        <v>Grinding</v>
      </c>
      <c r="AU5" s="239"/>
      <c r="AV5" s="240"/>
      <c r="AW5" s="238" t="s">
        <v>28</v>
      </c>
      <c r="AX5" s="239"/>
      <c r="AY5" s="239"/>
      <c r="AZ5" s="239" t="s">
        <v>29</v>
      </c>
      <c r="BA5" s="239"/>
      <c r="BB5" s="239"/>
      <c r="BC5" s="239" t="s">
        <v>29</v>
      </c>
      <c r="BD5" s="239"/>
      <c r="BE5" s="240"/>
      <c r="BF5" s="1"/>
    </row>
    <row r="6" spans="1:58" x14ac:dyDescent="0.3">
      <c r="A6" s="33"/>
      <c r="B6" s="33"/>
      <c r="C6" s="33" t="s">
        <v>31</v>
      </c>
      <c r="D6" s="33" t="s">
        <v>32</v>
      </c>
      <c r="E6" s="64">
        <v>1000</v>
      </c>
      <c r="F6" s="63">
        <v>1000</v>
      </c>
      <c r="G6" s="62">
        <v>1000</v>
      </c>
      <c r="H6" s="125" t="s">
        <v>33</v>
      </c>
      <c r="I6" s="70" t="s">
        <v>0</v>
      </c>
      <c r="J6" s="70"/>
      <c r="K6" s="139"/>
      <c r="L6" s="160" t="s">
        <v>15</v>
      </c>
      <c r="M6" s="164">
        <f>SUM(V7:V107)/E6</f>
        <v>-211.5571764355046</v>
      </c>
      <c r="N6" s="165">
        <f>SUM(W7:W107)/F6</f>
        <v>-215.78831996421474</v>
      </c>
      <c r="O6" s="166">
        <f>SUM(X7:X107)/G6</f>
        <v>-252.4300229228441</v>
      </c>
      <c r="P6" s="146"/>
      <c r="R6" s="120" t="s">
        <v>34</v>
      </c>
      <c r="S6" s="86" t="s">
        <v>35</v>
      </c>
      <c r="T6" s="87" t="s">
        <v>36</v>
      </c>
      <c r="U6" s="88" t="s">
        <v>37</v>
      </c>
      <c r="V6" s="86" t="s">
        <v>35</v>
      </c>
      <c r="W6" s="87" t="s">
        <v>36</v>
      </c>
      <c r="X6" s="88" t="s">
        <v>37</v>
      </c>
      <c r="Y6" s="85"/>
      <c r="Z6" s="120" t="s">
        <v>38</v>
      </c>
      <c r="AA6" s="86" t="s">
        <v>35</v>
      </c>
      <c r="AB6" s="87" t="s">
        <v>36</v>
      </c>
      <c r="AC6" s="88" t="s">
        <v>37</v>
      </c>
      <c r="AD6" s="86" t="s">
        <v>35</v>
      </c>
      <c r="AE6" s="87" t="s">
        <v>36</v>
      </c>
      <c r="AF6" s="88" t="s">
        <v>37</v>
      </c>
      <c r="AG6" s="85"/>
      <c r="AH6" s="122" t="s">
        <v>34</v>
      </c>
      <c r="AI6" s="86" t="s">
        <v>35</v>
      </c>
      <c r="AJ6" s="87" t="s">
        <v>36</v>
      </c>
      <c r="AK6" s="88" t="s">
        <v>37</v>
      </c>
      <c r="AL6" s="86" t="s">
        <v>35</v>
      </c>
      <c r="AM6" s="87" t="s">
        <v>36</v>
      </c>
      <c r="AN6" s="88" t="s">
        <v>37</v>
      </c>
      <c r="AO6" s="86" t="s">
        <v>35</v>
      </c>
      <c r="AP6" s="87" t="s">
        <v>36</v>
      </c>
      <c r="AQ6" s="88" t="s">
        <v>37</v>
      </c>
      <c r="AR6" s="84"/>
      <c r="AS6" s="122" t="s">
        <v>38</v>
      </c>
      <c r="AT6" s="109" t="s">
        <v>35</v>
      </c>
      <c r="AU6" s="85" t="s">
        <v>36</v>
      </c>
      <c r="AV6" s="110" t="s">
        <v>37</v>
      </c>
      <c r="AW6" s="109" t="s">
        <v>35</v>
      </c>
      <c r="AX6" s="85" t="s">
        <v>36</v>
      </c>
      <c r="AY6" s="85" t="s">
        <v>37</v>
      </c>
      <c r="AZ6" s="85" t="s">
        <v>35</v>
      </c>
      <c r="BA6" s="85" t="s">
        <v>36</v>
      </c>
      <c r="BB6" s="85" t="s">
        <v>37</v>
      </c>
      <c r="BC6" s="85" t="s">
        <v>35</v>
      </c>
      <c r="BD6" s="85" t="s">
        <v>36</v>
      </c>
      <c r="BE6" s="110" t="s">
        <v>37</v>
      </c>
      <c r="BF6" s="1"/>
    </row>
    <row r="7" spans="1:58" x14ac:dyDescent="0.3">
      <c r="A7" s="56"/>
      <c r="B7" s="56"/>
      <c r="C7" s="33"/>
      <c r="D7" s="33"/>
      <c r="H7" s="33"/>
      <c r="I7" s="70" t="s">
        <v>0</v>
      </c>
      <c r="J7" s="70"/>
      <c r="K7" s="139"/>
      <c r="L7" s="160" t="s">
        <v>16</v>
      </c>
      <c r="M7" s="164">
        <f>SUM(AA7:AA107)/E6</f>
        <v>2481.7799812387261</v>
      </c>
      <c r="N7" s="165">
        <f>SUM(AB7:AB107)/F6</f>
        <v>1240.8899906193631</v>
      </c>
      <c r="O7" s="166">
        <f>SUM(AC7:AC107)/G6</f>
        <v>1240.8899906193631</v>
      </c>
      <c r="P7" s="146"/>
      <c r="R7" s="118">
        <v>0</v>
      </c>
      <c r="S7" s="94">
        <f t="shared" ref="S7:U26" si="0">SUMIF($AI$6:$AK$6,S$6,$AI7:$AK7)</f>
        <v>5000000</v>
      </c>
      <c r="T7" s="89">
        <f t="shared" si="0"/>
        <v>5100000</v>
      </c>
      <c r="U7" s="95">
        <f t="shared" si="0"/>
        <v>5966000</v>
      </c>
      <c r="V7" s="91">
        <f t="shared" ref="V7:X26" si="1">SUMIF($AL$6:$AQ$6,V$6,$AL7:$AQ7)</f>
        <v>0</v>
      </c>
      <c r="W7" s="92">
        <f t="shared" si="1"/>
        <v>0</v>
      </c>
      <c r="X7" s="93">
        <f t="shared" si="1"/>
        <v>0</v>
      </c>
      <c r="Y7" s="89"/>
      <c r="Z7" s="118">
        <v>1</v>
      </c>
      <c r="AA7" s="91">
        <f t="shared" ref="AA7:AC26" si="2">SUMIF($AT$6:$AV$6,AA$6,$AT7:$AV7)</f>
        <v>96618.357487922709</v>
      </c>
      <c r="AB7" s="92">
        <f t="shared" si="2"/>
        <v>48309.178743961354</v>
      </c>
      <c r="AC7" s="93">
        <f t="shared" si="2"/>
        <v>48309.178743961354</v>
      </c>
      <c r="AD7" s="91">
        <f t="shared" ref="AD7:AF26" si="3">SUMIF($AW$6:$BE$6,AD$6,$AW7:$BE7)</f>
        <v>300916.15136876015</v>
      </c>
      <c r="AE7" s="92">
        <f t="shared" si="3"/>
        <v>225687.11352657009</v>
      </c>
      <c r="AF7" s="93">
        <f t="shared" si="3"/>
        <v>225687.11352657009</v>
      </c>
      <c r="AG7" s="90"/>
      <c r="AH7" s="118">
        <v>0</v>
      </c>
      <c r="AI7" s="91">
        <f>IF(E$5*$AH7&lt;E$5*E$14,(E$19*E$6*(1+Overview!$B$53)^-(E$5*$AH7)),0)</f>
        <v>5000000</v>
      </c>
      <c r="AJ7" s="92">
        <f>IF(F$5*$AH7&lt;F$5*F$14,(F$19*F$6*(1+Overview!$B$53)^-(F$5*$AH7)),0)</f>
        <v>5100000</v>
      </c>
      <c r="AK7" s="93">
        <f>IF(G$5*$AH7&lt;G$5*G$14,(G$19*G$6*(1+Overview!$B$53)^-(G$5*$AH7)),0)</f>
        <v>5966000</v>
      </c>
      <c r="AL7" s="91">
        <f>IF($AH7=0,0,IF(E$5*$AH7&lt;=E$5*E$14,(E$22*E$6*(1+Overview!$B$53)^-(E$5*$AH7)),0))</f>
        <v>0</v>
      </c>
      <c r="AM7" s="92">
        <f>IF($AH7=0,0,IF(F$5*$AH7&lt;=F$5*F$14,(F$22*F$6*(1+Overview!$B$53)^-(F$5*$AH7)),0))</f>
        <v>0</v>
      </c>
      <c r="AN7" s="93">
        <f>IF($AH7=0,0,IF(G$5*$AH7&lt;=G$5*G$14,(G$22*G$6*(1+Overview!$B$53)^-(G$5*$AH7)),0))</f>
        <v>0</v>
      </c>
      <c r="AO7" s="94"/>
      <c r="AP7" s="89"/>
      <c r="AQ7" s="95"/>
      <c r="AR7" s="84"/>
      <c r="AS7" s="109">
        <v>1</v>
      </c>
      <c r="AT7" s="91">
        <f>IF($AS7&lt;E$4,E$20*E$6*E$11*(1+Overview!$B$53)^-($AS7),0)</f>
        <v>96618.357487922709</v>
      </c>
      <c r="AU7" s="92">
        <f>IF($AS7&lt;F$4,F$20*F$6*F$11*(1+Overview!$B$53)^-($AS7),0)</f>
        <v>48309.178743961354</v>
      </c>
      <c r="AV7" s="92">
        <f>IF($AS7&lt;G$4,G$20*G$6*G$11*(1+Overview!$B$53)^-($AS7),0)</f>
        <v>48309.178743961354</v>
      </c>
      <c r="AW7" s="91">
        <f>IF(E$67=0,IF($AS7&lt;E$4,E$55*(1+Overview!$B$53)^-($AS7),0),IF($AS7&lt;E$4,E$67*(1+Overview!$B$53)^-($AS7),0))</f>
        <v>300916.15136876015</v>
      </c>
      <c r="AX7" s="92">
        <f>IF(F$67=0,IF($AS7&lt;F$4,F$55*(1+Overview!$B$53)^-($AS7),0),IF($AS7&lt;F$4,F$67*(1+Overview!$B$53)^-($AS7),0))</f>
        <v>225687.11352657009</v>
      </c>
      <c r="AY7" s="92">
        <f>IF(G$67=0,IF($AS7&lt;G$4,G$55*(1+Overview!$B$53)^-($AS7),0),IF($AS7&lt;G$4,G$67*(1+Overview!$B$53)^-($AS7),0))</f>
        <v>225687.11352657009</v>
      </c>
      <c r="AZ7" s="92">
        <f>IF(E$68=0,IF($AS7&lt;E$4,E$56*(1+Overview!$B$53)^-($AS7),0),IF($AS7&lt;E$4,E$68*(1+Overview!$B$53)^-($AS7),0))</f>
        <v>0</v>
      </c>
      <c r="BA7" s="92">
        <f>IF(F$68=0,IF($AS7&lt;F$4,F$56*(1+Overview!$B$53)^-($AS7),0),IF($AS7&lt;F$4,F$68*(1+Overview!$B$53)^-($AS7),0))</f>
        <v>0</v>
      </c>
      <c r="BB7" s="92">
        <f>IF(G$68=0,IF($AS7&lt;G$4,G$56*(1+Overview!$B$53)^-($AS7),0),IF($AS7&lt;G$4,G$68*(1+Overview!$B$53)^-($AS7),0))</f>
        <v>0</v>
      </c>
      <c r="BC7" s="92">
        <f>IF(E$69=0,IF($AS7&lt;E$4,E$57*(1+Overview!$B$53)^-($AS7),0),IF($AS7&lt;E$4,E$69*(1+Overview!$B$53)^-($AS7),0))</f>
        <v>0</v>
      </c>
      <c r="BD7" s="92">
        <f>IF(F$69=0,IF($AS7&lt;F$4,F$57*(1+Overview!$B$53)^-($AS7),0),IF($AS7&lt;F$4,F$69*(1+Overview!$B$53)^-($AS7),0))</f>
        <v>0</v>
      </c>
      <c r="BE7" s="93">
        <f>IF(G$69=0,IF($AS7&lt;G$4,G$57*(1+Overview!$B$53)^-($AS7),0),IF($AS7&lt;G$4,G$69*(1+Overview!$B$53)^-($AS7),0))</f>
        <v>0</v>
      </c>
      <c r="BF7" s="1"/>
    </row>
    <row r="8" spans="1:58" ht="15" thickBot="1" x14ac:dyDescent="0.35">
      <c r="A8" s="33"/>
      <c r="B8" s="68" t="s">
        <v>41</v>
      </c>
      <c r="C8" s="33" t="s">
        <v>42</v>
      </c>
      <c r="D8" s="33" t="s">
        <v>32</v>
      </c>
      <c r="E8" s="64">
        <v>1000</v>
      </c>
      <c r="F8" s="63">
        <v>1000</v>
      </c>
      <c r="G8" s="62">
        <v>1000</v>
      </c>
      <c r="H8" s="125" t="s">
        <v>33</v>
      </c>
      <c r="I8" s="70" t="s">
        <v>0</v>
      </c>
      <c r="J8" s="70"/>
      <c r="K8" s="139"/>
      <c r="L8" s="152" t="s">
        <v>43</v>
      </c>
      <c r="M8" s="153">
        <f>SUM(M5:M7)</f>
        <v>18898.377720363864</v>
      </c>
      <c r="N8" s="154">
        <f>SUM(N5:N7)</f>
        <v>17985.819684526999</v>
      </c>
      <c r="O8" s="155">
        <f>SUM(O5:O7)</f>
        <v>20829.174412943477</v>
      </c>
      <c r="P8" s="147"/>
      <c r="R8" s="118">
        <f>R7+1</f>
        <v>1</v>
      </c>
      <c r="S8" s="94">
        <f t="shared" si="0"/>
        <v>3668654.8609480709</v>
      </c>
      <c r="T8" s="89">
        <f t="shared" si="0"/>
        <v>3742027.9581670323</v>
      </c>
      <c r="U8" s="95">
        <f t="shared" si="0"/>
        <v>4377438.9800832383</v>
      </c>
      <c r="V8" s="94">
        <f t="shared" si="1"/>
        <v>0</v>
      </c>
      <c r="W8" s="89">
        <f t="shared" si="1"/>
        <v>0</v>
      </c>
      <c r="X8" s="95">
        <f t="shared" si="1"/>
        <v>0</v>
      </c>
      <c r="Y8" s="89"/>
      <c r="Z8" s="118">
        <f>Z7+1</f>
        <v>2</v>
      </c>
      <c r="AA8" s="94">
        <f t="shared" si="2"/>
        <v>93351.070036640303</v>
      </c>
      <c r="AB8" s="89">
        <f t="shared" si="2"/>
        <v>46675.535018320152</v>
      </c>
      <c r="AC8" s="95">
        <f t="shared" si="2"/>
        <v>46675.535018320152</v>
      </c>
      <c r="AD8" s="94">
        <f t="shared" si="3"/>
        <v>290740.24286836729</v>
      </c>
      <c r="AE8" s="89">
        <f t="shared" si="3"/>
        <v>218055.18215127545</v>
      </c>
      <c r="AF8" s="95">
        <f t="shared" si="3"/>
        <v>218055.18215127545</v>
      </c>
      <c r="AG8" s="90"/>
      <c r="AH8" s="118">
        <f>AH7+1</f>
        <v>1</v>
      </c>
      <c r="AI8" s="94">
        <f>IF(E$5*$AH8&lt;E$5*E$14,(E$19*E$6*(1+Overview!$B$53)^-(E$5*$AH8)),0)</f>
        <v>3668654.8609480709</v>
      </c>
      <c r="AJ8" s="89">
        <f>IF(F$5*$AH8&lt;F$5*F$14,(F$19*F$6*(1+Overview!$B$53)^-(F$5*$AH8)),0)</f>
        <v>3742027.9581670323</v>
      </c>
      <c r="AK8" s="95">
        <f>IF(G$5*$AH8&lt;G$5*G$14,(G$19*G$6*(1+Overview!$B$53)^-(G$5*$AH8)),0)</f>
        <v>4377438.9800832383</v>
      </c>
      <c r="AL8" s="94">
        <f>IF($AH8=0,0,IF(E$5*$AH8&lt;=E$5*E$14,(E$22*E$6*(1+Overview!$B$53)^-(E$5*$AH8)),0))</f>
        <v>0</v>
      </c>
      <c r="AM8" s="89">
        <f>IF($AH8=0,0,IF(F$5*$AH8&lt;=F$5*F$14,(F$22*F$6*(1+Overview!$B$53)^-(F$5*$AH8)),0))</f>
        <v>0</v>
      </c>
      <c r="AN8" s="95">
        <f>IF($AH8=0,0,IF(G$5*$AH8&lt;=G$5*G$14,(G$22*G$6*(1+Overview!$B$53)^-(G$5*$AH8)),0))</f>
        <v>0</v>
      </c>
      <c r="AO8" s="94">
        <f>IF(E$16&gt;0,IF($AH7*E$14=E$4,-(E$16/E$5)*E$19*E$6*(1+Overview!$B$53)^-E$4+(E$22*E$6*(1+Overview!$B$53)^-E$4),0),0)</f>
        <v>0</v>
      </c>
      <c r="AP8" s="89">
        <f>IF(F$16&gt;0,IF($AH7*F$14=F$4,-(F$16/F$5)*F$19*F$6*(1+Overview!$B$53)^-F$4+(F$22*F$6*(1+Overview!$B$53)^-F$4),0),0)</f>
        <v>0</v>
      </c>
      <c r="AQ8" s="95">
        <f>IF(G$16&gt;0,IF($AH7*G$14=G$4,-(G$16/G$5)*G$19*G$6*(1+Overview!$B$53)^-G$4+(G$22*G$6*(1+Overview!$B$53)^-G$4),0),0)</f>
        <v>0</v>
      </c>
      <c r="AR8" s="84"/>
      <c r="AS8" s="109">
        <f>AS7+1</f>
        <v>2</v>
      </c>
      <c r="AT8" s="94">
        <f>IF($AS8&lt;E$4,E$20*E$6*E$11*(1+Overview!$B$53)^-($AS8),0)</f>
        <v>93351.070036640303</v>
      </c>
      <c r="AU8" s="89">
        <f>IF($AS8&lt;F$4,F$20*F$6*F$11*(1+Overview!$B$53)^-($AS8),0)</f>
        <v>46675.535018320152</v>
      </c>
      <c r="AV8" s="89">
        <f>IF($AS8&lt;G$4,G$20*G$6*G$11*(1+Overview!$B$53)^-($AS8),0)</f>
        <v>46675.535018320152</v>
      </c>
      <c r="AW8" s="94">
        <f>IF(E$67=0,IF($AS8&lt;E$4,E$55*(1+Overview!$B$53)^-($AS8),0),IF($AS8&lt;E$4,E$67*(1+Overview!$B$53)^-($AS8),0))</f>
        <v>290740.24286836729</v>
      </c>
      <c r="AX8" s="89">
        <f>IF(F$67=0,IF($AS8&lt;F$4,F$55*(1+Overview!$B$53)^-($AS8),0),IF($AS8&lt;F$4,F$67*(1+Overview!$B$53)^-($AS8),0))</f>
        <v>218055.18215127545</v>
      </c>
      <c r="AY8" s="89">
        <f>IF(G$67=0,IF($AS8&lt;G$4,G$55*(1+Overview!$B$53)^-($AS8),0),IF($AS8&lt;G$4,G$67*(1+Overview!$B$53)^-($AS8),0))</f>
        <v>218055.18215127545</v>
      </c>
      <c r="AZ8" s="89">
        <f>IF(E$68=0,IF($AS8&lt;E$4,E$56*(1+Overview!$B$53)^-($AS8),0),IF($AS8&lt;E$4,E$68*(1+Overview!$B$53)^-($AS8),0))</f>
        <v>0</v>
      </c>
      <c r="BA8" s="89">
        <f>IF(F$68=0,IF($AS8&lt;F$4,F$56*(1+Overview!$B$53)^-($AS8),0),IF($AS8&lt;F$4,F$68*(1+Overview!$B$53)^-($AS8),0))</f>
        <v>0</v>
      </c>
      <c r="BB8" s="89">
        <f>IF(G$68=0,IF($AS8&lt;G$4,G$56*(1+Overview!$B$53)^-($AS8),0),IF($AS8&lt;G$4,G$68*(1+Overview!$B$53)^-($AS8),0))</f>
        <v>0</v>
      </c>
      <c r="BC8" s="89">
        <f>IF(E$69=0,IF($AS8&lt;E$4,E$57*(1+Overview!$B$53)^-($AS8),0),IF($AS8&lt;E$4,E$69*(1+Overview!$B$53)^-($AS8),0))</f>
        <v>0</v>
      </c>
      <c r="BD8" s="89">
        <f>IF(F$69=0,IF($AS8&lt;F$4,F$57*(1+Overview!$B$53)^-($AS8),0),IF($AS8&lt;F$4,F$69*(1+Overview!$B$53)^-($AS8),0))</f>
        <v>0</v>
      </c>
      <c r="BE8" s="95">
        <f>IF(G$69=0,IF($AS8&lt;G$4,G$57*(1+Overview!$B$53)^-($AS8),0),IF($AS8&lt;G$4,G$69*(1+Overview!$B$53)^-($AS8),0))</f>
        <v>0</v>
      </c>
      <c r="BF8" s="1"/>
    </row>
    <row r="9" spans="1:58" ht="15" thickBot="1" x14ac:dyDescent="0.35">
      <c r="A9" s="33"/>
      <c r="B9" s="33"/>
      <c r="C9" s="33" t="s">
        <v>45</v>
      </c>
      <c r="D9" s="33" t="s">
        <v>32</v>
      </c>
      <c r="E9" s="64">
        <v>1000</v>
      </c>
      <c r="F9" s="63">
        <v>1000</v>
      </c>
      <c r="G9" s="62">
        <v>1000</v>
      </c>
      <c r="H9" s="125" t="s">
        <v>33</v>
      </c>
      <c r="I9" s="70" t="s">
        <v>0</v>
      </c>
      <c r="J9" s="70"/>
      <c r="K9" s="139"/>
      <c r="L9" s="156" t="s">
        <v>46</v>
      </c>
      <c r="M9" s="157">
        <f>SUM(AD7:AD107)/E6</f>
        <v>7729.4594931583433</v>
      </c>
      <c r="N9" s="158">
        <f>SUM(AE7:AE107)/F6</f>
        <v>5797.0946198687579</v>
      </c>
      <c r="O9" s="159">
        <f>SUM(AF7:AF107)/G6</f>
        <v>5797.0946198687579</v>
      </c>
      <c r="P9" s="144"/>
      <c r="R9" s="118">
        <f t="shared" ref="R9:R72" si="4">R8+1</f>
        <v>2</v>
      </c>
      <c r="S9" s="94">
        <f t="shared" si="0"/>
        <v>2691805.6977515812</v>
      </c>
      <c r="T9" s="89">
        <f t="shared" si="0"/>
        <v>2745641.8117066128</v>
      </c>
      <c r="U9" s="95">
        <f t="shared" si="0"/>
        <v>3211862.5585571867</v>
      </c>
      <c r="V9" s="94">
        <f t="shared" si="1"/>
        <v>0</v>
      </c>
      <c r="W9" s="89">
        <f t="shared" si="1"/>
        <v>0</v>
      </c>
      <c r="X9" s="95">
        <f t="shared" si="1"/>
        <v>0</v>
      </c>
      <c r="Y9" s="89"/>
      <c r="Z9" s="118">
        <f t="shared" ref="Z9:Z72" si="5">Z8+1</f>
        <v>3</v>
      </c>
      <c r="AA9" s="94">
        <f t="shared" si="2"/>
        <v>90194.270566802239</v>
      </c>
      <c r="AB9" s="89">
        <f t="shared" si="2"/>
        <v>45097.13528340112</v>
      </c>
      <c r="AC9" s="95">
        <f t="shared" si="2"/>
        <v>45097.13528340112</v>
      </c>
      <c r="AD9" s="94">
        <f t="shared" si="3"/>
        <v>280908.44721581385</v>
      </c>
      <c r="AE9" s="89">
        <f t="shared" si="3"/>
        <v>210681.33541186037</v>
      </c>
      <c r="AF9" s="95">
        <f t="shared" si="3"/>
        <v>210681.33541186037</v>
      </c>
      <c r="AG9" s="90"/>
      <c r="AH9" s="118">
        <f t="shared" ref="AH9:AH72" si="6">AH8+1</f>
        <v>2</v>
      </c>
      <c r="AI9" s="94">
        <f>IF(E$5*$AH9&lt;E$5*E$14,(E$19*E$6*(1+Overview!$B$53)^-(E$5*$AH9)),0)</f>
        <v>2691805.6977515812</v>
      </c>
      <c r="AJ9" s="89">
        <f>IF(F$5*$AH9&lt;F$5*F$14,(F$19*F$6*(1+Overview!$B$53)^-(F$5*$AH9)),0)</f>
        <v>2745641.8117066128</v>
      </c>
      <c r="AK9" s="95">
        <f>IF(G$5*$AH9&lt;G$5*G$14,(G$19*G$6*(1+Overview!$B$53)^-(G$5*$AH9)),0)</f>
        <v>3211862.5585571867</v>
      </c>
      <c r="AL9" s="94">
        <f>IF($AH9=0,0,IF(E$5*$AH9&lt;=E$5*E$14,(E$22*E$6*(1+Overview!$B$53)^-(E$5*$AH9)),0))</f>
        <v>0</v>
      </c>
      <c r="AM9" s="89">
        <f>IF($AH9=0,0,IF(F$5*$AH9&lt;=F$5*F$14,(F$22*F$6*(1+Overview!$B$53)^-(F$5*$AH9)),0))</f>
        <v>0</v>
      </c>
      <c r="AN9" s="95">
        <f>IF($AH9=0,0,IF(G$5*$AH9&lt;=G$5*G$14,(G$22*G$6*(1+Overview!$B$53)^-(G$5*$AH9)),0))</f>
        <v>0</v>
      </c>
      <c r="AO9" s="94">
        <f>IF(E$16&gt;0,IF($AH8*E$14=E$4,-(E$16/E$5)*E$19*E$6*(1+Overview!$B$53)^-E$4+(E$22*E$6*(1+Overview!$B$53)^-E$4),0),0)</f>
        <v>0</v>
      </c>
      <c r="AP9" s="89">
        <f>IF(F$16&gt;0,IF($AH8*F$14=F$4,-(F$16/F$5)*F$19*F$6*(1+Overview!$B$53)^-F$4+(F$22*F$6*(1+Overview!$B$53)^-F$4),0),0)</f>
        <v>0</v>
      </c>
      <c r="AQ9" s="95">
        <f>IF(G$16&gt;0,IF($AH8*G$14=G$4,-(G$16/G$5)*G$19*G$6*(1+Overview!$B$53)^-G$4+(G$22*G$6*(1+Overview!$B$53)^-G$4),0),0)</f>
        <v>0</v>
      </c>
      <c r="AR9" s="84"/>
      <c r="AS9" s="109">
        <f t="shared" ref="AS9:AS72" si="7">AS8+1</f>
        <v>3</v>
      </c>
      <c r="AT9" s="94">
        <f>IF($AS9&lt;E$4,E$20*E$6*E$11*(1+Overview!$B$53)^-($AS9),0)</f>
        <v>90194.270566802239</v>
      </c>
      <c r="AU9" s="89">
        <f>IF($AS9&lt;F$4,F$20*F$6*F$11*(1+Overview!$B$53)^-($AS9),0)</f>
        <v>45097.13528340112</v>
      </c>
      <c r="AV9" s="89">
        <f>IF($AS9&lt;G$4,G$20*G$6*G$11*(1+Overview!$B$53)^-($AS9),0)</f>
        <v>45097.13528340112</v>
      </c>
      <c r="AW9" s="94">
        <f>IF(E$67=0,IF($AS9&lt;E$4,E$55*(1+Overview!$B$53)^-($AS9),0),IF($AS9&lt;E$4,E$67*(1+Overview!$B$53)^-($AS9),0))</f>
        <v>280908.44721581385</v>
      </c>
      <c r="AX9" s="89">
        <f>IF(F$67=0,IF($AS9&lt;F$4,F$55*(1+Overview!$B$53)^-($AS9),0),IF($AS9&lt;F$4,F$67*(1+Overview!$B$53)^-($AS9),0))</f>
        <v>210681.33541186037</v>
      </c>
      <c r="AY9" s="89">
        <f>IF(G$67=0,IF($AS9&lt;G$4,G$55*(1+Overview!$B$53)^-($AS9),0),IF($AS9&lt;G$4,G$67*(1+Overview!$B$53)^-($AS9),0))</f>
        <v>210681.33541186037</v>
      </c>
      <c r="AZ9" s="89">
        <f>IF(E$68=0,IF($AS9&lt;E$4,E$56*(1+Overview!$B$53)^-($AS9),0),IF($AS9&lt;E$4,E$68*(1+Overview!$B$53)^-($AS9),0))</f>
        <v>0</v>
      </c>
      <c r="BA9" s="89">
        <f>IF(F$68=0,IF($AS9&lt;F$4,F$56*(1+Overview!$B$53)^-($AS9),0),IF($AS9&lt;F$4,F$68*(1+Overview!$B$53)^-($AS9),0))</f>
        <v>0</v>
      </c>
      <c r="BB9" s="89">
        <f>IF(G$68=0,IF($AS9&lt;G$4,G$56*(1+Overview!$B$53)^-($AS9),0),IF($AS9&lt;G$4,G$68*(1+Overview!$B$53)^-($AS9),0))</f>
        <v>0</v>
      </c>
      <c r="BC9" s="89">
        <f>IF(E$69=0,IF($AS9&lt;E$4,E$57*(1+Overview!$B$53)^-($AS9),0),IF($AS9&lt;E$4,E$69*(1+Overview!$B$53)^-($AS9),0))</f>
        <v>0</v>
      </c>
      <c r="BD9" s="89">
        <f>IF(F$69=0,IF($AS9&lt;F$4,F$57*(1+Overview!$B$53)^-($AS9),0),IF($AS9&lt;F$4,F$69*(1+Overview!$B$53)^-($AS9),0))</f>
        <v>0</v>
      </c>
      <c r="BE9" s="95">
        <f>IF(G$69=0,IF($AS9&lt;G$4,G$57*(1+Overview!$B$53)^-($AS9),0),IF($AS9&lt;G$4,G$69*(1+Overview!$B$53)^-($AS9),0))</f>
        <v>0</v>
      </c>
      <c r="BF9" s="1"/>
    </row>
    <row r="10" spans="1:58" ht="15" thickBot="1" x14ac:dyDescent="0.35">
      <c r="A10" s="33"/>
      <c r="B10" s="33"/>
      <c r="C10" s="33" t="s">
        <v>47</v>
      </c>
      <c r="D10" s="33" t="s">
        <v>32</v>
      </c>
      <c r="E10" s="64">
        <v>1000</v>
      </c>
      <c r="F10" s="63">
        <v>1000</v>
      </c>
      <c r="G10" s="62">
        <v>1000</v>
      </c>
      <c r="H10" s="125" t="s">
        <v>33</v>
      </c>
      <c r="I10" s="70" t="s">
        <v>0</v>
      </c>
      <c r="J10" s="70"/>
      <c r="K10" s="139"/>
      <c r="L10" s="100" t="s">
        <v>48</v>
      </c>
      <c r="M10" s="71">
        <f>M8+M9</f>
        <v>26627.837213522209</v>
      </c>
      <c r="N10" s="72">
        <f>N8+N9</f>
        <v>23782.914304395759</v>
      </c>
      <c r="O10" s="73">
        <f>O8+O9</f>
        <v>26626.269032812233</v>
      </c>
      <c r="P10" s="147"/>
      <c r="R10" s="118">
        <f t="shared" si="4"/>
        <v>3</v>
      </c>
      <c r="S10" s="94">
        <f t="shared" si="0"/>
        <v>1975061.2115568102</v>
      </c>
      <c r="T10" s="89">
        <f t="shared" si="0"/>
        <v>2014562.4357879465</v>
      </c>
      <c r="U10" s="95">
        <f t="shared" si="0"/>
        <v>2356643.0376295862</v>
      </c>
      <c r="V10" s="94">
        <f t="shared" si="1"/>
        <v>0</v>
      </c>
      <c r="W10" s="89">
        <f t="shared" si="1"/>
        <v>0</v>
      </c>
      <c r="X10" s="95">
        <f t="shared" si="1"/>
        <v>0</v>
      </c>
      <c r="Y10" s="89"/>
      <c r="Z10" s="118">
        <f t="shared" si="5"/>
        <v>4</v>
      </c>
      <c r="AA10" s="94">
        <f t="shared" si="2"/>
        <v>87144.222769857239</v>
      </c>
      <c r="AB10" s="89">
        <f t="shared" si="2"/>
        <v>43572.111384928619</v>
      </c>
      <c r="AC10" s="95">
        <f t="shared" si="2"/>
        <v>43572.111384928619</v>
      </c>
      <c r="AD10" s="94">
        <f t="shared" si="3"/>
        <v>271409.12774474768</v>
      </c>
      <c r="AE10" s="89">
        <f t="shared" si="3"/>
        <v>203556.84580856076</v>
      </c>
      <c r="AF10" s="95">
        <f t="shared" si="3"/>
        <v>203556.84580856076</v>
      </c>
      <c r="AG10" s="84"/>
      <c r="AH10" s="118">
        <f t="shared" si="6"/>
        <v>3</v>
      </c>
      <c r="AI10" s="94">
        <f>IF(E$5*$AH10&lt;E$5*E$14,(E$19*E$6*(1+Overview!$B$53)^-(E$5*$AH10)),0)</f>
        <v>1975061.2115568102</v>
      </c>
      <c r="AJ10" s="89">
        <f>IF(F$5*$AH10&lt;F$5*F$14,(F$19*F$6*(1+Overview!$B$53)^-(F$5*$AH10)),0)</f>
        <v>2014562.4357879465</v>
      </c>
      <c r="AK10" s="95">
        <f>IF(G$5*$AH10&lt;G$5*G$14,(G$19*G$6*(1+Overview!$B$53)^-(G$5*$AH10)),0)</f>
        <v>2356643.0376295862</v>
      </c>
      <c r="AL10" s="94">
        <f>IF($AH10=0,0,IF(E$5*$AH10&lt;=E$5*E$14,(E$22*E$6*(1+Overview!$B$53)^-(E$5*$AH10)),0))</f>
        <v>0</v>
      </c>
      <c r="AM10" s="89">
        <f>IF($AH10=0,0,IF(F$5*$AH10&lt;=F$5*F$14,(F$22*F$6*(1+Overview!$B$53)^-(F$5*$AH10)),0))</f>
        <v>0</v>
      </c>
      <c r="AN10" s="95">
        <f>IF($AH10=0,0,IF(G$5*$AH10&lt;=G$5*G$14,(G$22*G$6*(1+Overview!$B$53)^-(G$5*$AH10)),0))</f>
        <v>0</v>
      </c>
      <c r="AO10" s="94">
        <f>IF(E$16&gt;0,IF($AH9*E$14=E$4,-(E$16/E$5)*E$19*E$6*(1+Overview!$B$53)^-E$4+(E$22*E$6*(1+Overview!$B$53)^-E$4),0),0)</f>
        <v>0</v>
      </c>
      <c r="AP10" s="89">
        <f>IF(F$16&gt;0,IF($AH9*F$14=F$4,-(F$16/F$5)*F$19*F$6*(1+Overview!$B$53)^-F$4+(F$22*F$6*(1+Overview!$B$53)^-F$4),0),0)</f>
        <v>0</v>
      </c>
      <c r="AQ10" s="95">
        <f>IF(G$16&gt;0,IF($AH9*G$14=G$4,-(G$16/G$5)*G$19*G$6*(1+Overview!$B$53)^-G$4+(G$22*G$6*(1+Overview!$B$53)^-G$4),0),0)</f>
        <v>0</v>
      </c>
      <c r="AR10" s="84"/>
      <c r="AS10" s="109">
        <f t="shared" si="7"/>
        <v>4</v>
      </c>
      <c r="AT10" s="94">
        <f>IF($AS10&lt;E$4,E$20*E$6*E$11*(1+Overview!$B$53)^-($AS10),0)</f>
        <v>87144.222769857239</v>
      </c>
      <c r="AU10" s="89">
        <f>IF($AS10&lt;F$4,F$20*F$6*F$11*(1+Overview!$B$53)^-($AS10),0)</f>
        <v>43572.111384928619</v>
      </c>
      <c r="AV10" s="89">
        <f>IF($AS10&lt;G$4,G$20*G$6*G$11*(1+Overview!$B$53)^-($AS10),0)</f>
        <v>43572.111384928619</v>
      </c>
      <c r="AW10" s="94">
        <f>IF(E$67=0,IF($AS10&lt;E$4,E$55*(1+Overview!$B$53)^-($AS10),0),IF($AS10&lt;E$4,E$67*(1+Overview!$B$53)^-($AS10),0))</f>
        <v>271409.12774474768</v>
      </c>
      <c r="AX10" s="89">
        <f>IF(F$67=0,IF($AS10&lt;F$4,F$55*(1+Overview!$B$53)^-($AS10),0),IF($AS10&lt;F$4,F$67*(1+Overview!$B$53)^-($AS10),0))</f>
        <v>203556.84580856076</v>
      </c>
      <c r="AY10" s="89">
        <f>IF(G$67=0,IF($AS10&lt;G$4,G$55*(1+Overview!$B$53)^-($AS10),0),IF($AS10&lt;G$4,G$67*(1+Overview!$B$53)^-($AS10),0))</f>
        <v>203556.84580856076</v>
      </c>
      <c r="AZ10" s="89">
        <f>IF(E$68=0,IF($AS10&lt;E$4,E$56*(1+Overview!$B$53)^-($AS10),0),IF($AS10&lt;E$4,E$68*(1+Overview!$B$53)^-($AS10),0))</f>
        <v>0</v>
      </c>
      <c r="BA10" s="89">
        <f>IF(F$68=0,IF($AS10&lt;F$4,F$56*(1+Overview!$B$53)^-($AS10),0),IF($AS10&lt;F$4,F$68*(1+Overview!$B$53)^-($AS10),0))</f>
        <v>0</v>
      </c>
      <c r="BB10" s="89">
        <f>IF(G$68=0,IF($AS10&lt;G$4,G$56*(1+Overview!$B$53)^-($AS10),0),IF($AS10&lt;G$4,G$68*(1+Overview!$B$53)^-($AS10),0))</f>
        <v>0</v>
      </c>
      <c r="BC10" s="89">
        <f>IF(E$69=0,IF($AS10&lt;E$4,E$57*(1+Overview!$B$53)^-($AS10),0),IF($AS10&lt;E$4,E$69*(1+Overview!$B$53)^-($AS10),0))</f>
        <v>0</v>
      </c>
      <c r="BD10" s="89">
        <f>IF(F$69=0,IF($AS10&lt;F$4,F$57*(1+Overview!$B$53)^-($AS10),0),IF($AS10&lt;F$4,F$69*(1+Overview!$B$53)^-($AS10),0))</f>
        <v>0</v>
      </c>
      <c r="BE10" s="95">
        <f>IF(G$69=0,IF($AS10&lt;G$4,G$57*(1+Overview!$B$53)^-($AS10),0),IF($AS10&lt;G$4,G$69*(1+Overview!$B$53)^-($AS10),0))</f>
        <v>0</v>
      </c>
      <c r="BF10" s="1"/>
    </row>
    <row r="11" spans="1:58" ht="15" thickBot="1" x14ac:dyDescent="0.35">
      <c r="A11" s="33"/>
      <c r="B11" s="33"/>
      <c r="C11" s="33" t="s">
        <v>49</v>
      </c>
      <c r="D11" s="33" t="s">
        <v>50</v>
      </c>
      <c r="E11" s="169">
        <v>2</v>
      </c>
      <c r="F11" s="170">
        <v>1</v>
      </c>
      <c r="G11" s="171">
        <v>1</v>
      </c>
      <c r="H11" s="172" t="s">
        <v>51</v>
      </c>
      <c r="I11" s="123"/>
      <c r="J11" s="123"/>
      <c r="K11" s="140"/>
      <c r="L11" s="33"/>
      <c r="M11" s="33"/>
      <c r="N11" s="33"/>
      <c r="O11" s="33"/>
      <c r="P11" s="146"/>
      <c r="R11" s="118">
        <f t="shared" si="4"/>
        <v>4</v>
      </c>
      <c r="S11" s="94">
        <f t="shared" si="0"/>
        <v>1449163.5828895757</v>
      </c>
      <c r="T11" s="89">
        <f t="shared" si="0"/>
        <v>1478146.8545473672</v>
      </c>
      <c r="U11" s="95">
        <f t="shared" si="0"/>
        <v>1729141.9871038417</v>
      </c>
      <c r="V11" s="94">
        <f t="shared" si="1"/>
        <v>0</v>
      </c>
      <c r="W11" s="89">
        <f t="shared" si="1"/>
        <v>0</v>
      </c>
      <c r="X11" s="95">
        <f t="shared" si="1"/>
        <v>0</v>
      </c>
      <c r="Y11" s="89"/>
      <c r="Z11" s="118">
        <f t="shared" si="5"/>
        <v>5</v>
      </c>
      <c r="AA11" s="94">
        <f t="shared" si="2"/>
        <v>84197.31668585242</v>
      </c>
      <c r="AB11" s="89">
        <f t="shared" si="2"/>
        <v>42098.65834292621</v>
      </c>
      <c r="AC11" s="95">
        <f t="shared" si="2"/>
        <v>42098.65834292621</v>
      </c>
      <c r="AD11" s="94">
        <f t="shared" si="3"/>
        <v>262231.0412992732</v>
      </c>
      <c r="AE11" s="89">
        <f t="shared" si="3"/>
        <v>196673.28097445489</v>
      </c>
      <c r="AF11" s="95">
        <f t="shared" si="3"/>
        <v>196673.28097445489</v>
      </c>
      <c r="AG11" s="84"/>
      <c r="AH11" s="118">
        <f t="shared" si="6"/>
        <v>4</v>
      </c>
      <c r="AI11" s="94">
        <f>IF(E$5*$AH11&lt;E$5*E$14,(E$19*E$6*(1+Overview!$B$53)^-(E$5*$AH11)),0)</f>
        <v>1449163.5828895757</v>
      </c>
      <c r="AJ11" s="89">
        <f>IF(F$5*$AH11&lt;F$5*F$14,(F$19*F$6*(1+Overview!$B$53)^-(F$5*$AH11)),0)</f>
        <v>1478146.8545473672</v>
      </c>
      <c r="AK11" s="95">
        <f>IF(G$5*$AH11&lt;G$5*G$14,(G$19*G$6*(1+Overview!$B$53)^-(G$5*$AH11)),0)</f>
        <v>1729141.9871038417</v>
      </c>
      <c r="AL11" s="94">
        <f>IF($AH11=0,0,IF(E$5*$AH11&lt;=E$5*E$14,(E$22*E$6*(1+Overview!$B$53)^-(E$5*$AH11)),0))</f>
        <v>0</v>
      </c>
      <c r="AM11" s="89">
        <f>IF($AH11=0,0,IF(F$5*$AH11&lt;=F$5*F$14,(F$22*F$6*(1+Overview!$B$53)^-(F$5*$AH11)),0))</f>
        <v>0</v>
      </c>
      <c r="AN11" s="95">
        <f>IF($AH11=0,0,IF(G$5*$AH11&lt;=G$5*G$14,(G$22*G$6*(1+Overview!$B$53)^-(G$5*$AH11)),0))</f>
        <v>0</v>
      </c>
      <c r="AO11" s="94">
        <f>IF(E$16&gt;0,IF($AH10*E$14=E$4,-(E$16/E$5)*E$19*E$6*(1+Overview!$B$53)^-E$4+(E$22*E$6*(1+Overview!$B$53)^-E$4),0),0)</f>
        <v>0</v>
      </c>
      <c r="AP11" s="89">
        <f>IF(F$16&gt;0,IF($AH10*F$14=F$4,-(F$16/F$5)*F$19*F$6*(1+Overview!$B$53)^-F$4+(F$22*F$6*(1+Overview!$B$53)^-F$4),0),0)</f>
        <v>0</v>
      </c>
      <c r="AQ11" s="95">
        <f>IF(G$16&gt;0,IF($AH10*G$14=G$4,-(G$16/G$5)*G$19*G$6*(1+Overview!$B$53)^-G$4+(G$22*G$6*(1+Overview!$B$53)^-G$4),0),0)</f>
        <v>0</v>
      </c>
      <c r="AR11" s="84"/>
      <c r="AS11" s="109">
        <f t="shared" si="7"/>
        <v>5</v>
      </c>
      <c r="AT11" s="94">
        <f>IF($AS11&lt;E$4,E$20*E$6*E$11*(1+Overview!$B$53)^-($AS11),0)</f>
        <v>84197.31668585242</v>
      </c>
      <c r="AU11" s="89">
        <f>IF($AS11&lt;F$4,F$20*F$6*F$11*(1+Overview!$B$53)^-($AS11),0)</f>
        <v>42098.65834292621</v>
      </c>
      <c r="AV11" s="89">
        <f>IF($AS11&lt;G$4,G$20*G$6*G$11*(1+Overview!$B$53)^-($AS11),0)</f>
        <v>42098.65834292621</v>
      </c>
      <c r="AW11" s="94">
        <f>IF(E$67=0,IF($AS11&lt;E$4,E$55*(1+Overview!$B$53)^-($AS11),0),IF($AS11&lt;E$4,E$67*(1+Overview!$B$53)^-($AS11),0))</f>
        <v>262231.0412992732</v>
      </c>
      <c r="AX11" s="89">
        <f>IF(F$67=0,IF($AS11&lt;F$4,F$55*(1+Overview!$B$53)^-($AS11),0),IF($AS11&lt;F$4,F$67*(1+Overview!$B$53)^-($AS11),0))</f>
        <v>196673.28097445489</v>
      </c>
      <c r="AY11" s="89">
        <f>IF(G$67=0,IF($AS11&lt;G$4,G$55*(1+Overview!$B$53)^-($AS11),0),IF($AS11&lt;G$4,G$67*(1+Overview!$B$53)^-($AS11),0))</f>
        <v>196673.28097445489</v>
      </c>
      <c r="AZ11" s="89">
        <f>IF(E$68=0,IF($AS11&lt;E$4,E$56*(1+Overview!$B$53)^-($AS11),0),IF($AS11&lt;E$4,E$68*(1+Overview!$B$53)^-($AS11),0))</f>
        <v>0</v>
      </c>
      <c r="BA11" s="89">
        <f>IF(F$68=0,IF($AS11&lt;F$4,F$56*(1+Overview!$B$53)^-($AS11),0),IF($AS11&lt;F$4,F$68*(1+Overview!$B$53)^-($AS11),0))</f>
        <v>0</v>
      </c>
      <c r="BB11" s="89">
        <f>IF(G$68=0,IF($AS11&lt;G$4,G$56*(1+Overview!$B$53)^-($AS11),0),IF($AS11&lt;G$4,G$68*(1+Overview!$B$53)^-($AS11),0))</f>
        <v>0</v>
      </c>
      <c r="BC11" s="89">
        <f>IF(E$69=0,IF($AS11&lt;E$4,E$57*(1+Overview!$B$53)^-($AS11),0),IF($AS11&lt;E$4,E$69*(1+Overview!$B$53)^-($AS11),0))</f>
        <v>0</v>
      </c>
      <c r="BD11" s="89">
        <f>IF(F$69=0,IF($AS11&lt;F$4,F$57*(1+Overview!$B$53)^-($AS11),0),IF($AS11&lt;F$4,F$69*(1+Overview!$B$53)^-($AS11),0))</f>
        <v>0</v>
      </c>
      <c r="BE11" s="95">
        <f>IF(G$69=0,IF($AS11&lt;G$4,G$57*(1+Overview!$B$53)^-($AS11),0),IF($AS11&lt;G$4,G$69*(1+Overview!$B$53)^-($AS11),0))</f>
        <v>0</v>
      </c>
      <c r="BF11" s="1"/>
    </row>
    <row r="12" spans="1:58" x14ac:dyDescent="0.3">
      <c r="A12" s="33"/>
      <c r="B12" s="33"/>
      <c r="C12" s="33" t="s">
        <v>52</v>
      </c>
      <c r="D12" s="33" t="s">
        <v>53</v>
      </c>
      <c r="E12" s="111">
        <v>2</v>
      </c>
      <c r="F12" s="112">
        <v>3</v>
      </c>
      <c r="G12" s="113">
        <v>3</v>
      </c>
      <c r="H12" s="126" t="s">
        <v>33</v>
      </c>
      <c r="I12" s="123" t="s">
        <v>54</v>
      </c>
      <c r="J12" s="123"/>
      <c r="K12" s="140"/>
      <c r="L12" s="160" t="s">
        <v>55</v>
      </c>
      <c r="M12" s="207">
        <f>(1+Overview!$B$53)^E$4*Overview!$B$53/((1+Overview!$B$53)^E$4-1)*M$10</f>
        <v>1067.4732826293157</v>
      </c>
      <c r="N12" s="207">
        <f>(1+Overview!$B$53)^F$4*Overview!$B$53/((1+Overview!$B$53)^F$4-1)*N$10</f>
        <v>953.4242454401309</v>
      </c>
      <c r="O12" s="207">
        <f>(1+Overview!$B$53)^G$4*Overview!$B$53/((1+Overview!$B$53)^G$4-1)*O$10</f>
        <v>1067.4104164266719</v>
      </c>
      <c r="P12" s="147"/>
      <c r="Q12" s="1"/>
      <c r="R12" s="118">
        <f t="shared" si="4"/>
        <v>5</v>
      </c>
      <c r="S12" s="94">
        <f t="shared" si="0"/>
        <v>1063296.2045353528</v>
      </c>
      <c r="T12" s="89">
        <f t="shared" si="0"/>
        <v>1084562.1286260597</v>
      </c>
      <c r="U12" s="95">
        <f t="shared" si="0"/>
        <v>1268725.031251583</v>
      </c>
      <c r="V12" s="94">
        <f t="shared" si="1"/>
        <v>0</v>
      </c>
      <c r="W12" s="89">
        <f t="shared" si="1"/>
        <v>0</v>
      </c>
      <c r="X12" s="95">
        <f t="shared" si="1"/>
        <v>0</v>
      </c>
      <c r="Y12" s="89"/>
      <c r="Z12" s="118">
        <f t="shared" si="5"/>
        <v>6</v>
      </c>
      <c r="AA12" s="94">
        <f t="shared" si="2"/>
        <v>81350.064430775281</v>
      </c>
      <c r="AB12" s="89">
        <f t="shared" si="2"/>
        <v>40675.03221538764</v>
      </c>
      <c r="AC12" s="95">
        <f t="shared" si="2"/>
        <v>40675.03221538764</v>
      </c>
      <c r="AD12" s="94">
        <f t="shared" si="3"/>
        <v>253363.324926834</v>
      </c>
      <c r="AE12" s="89">
        <f t="shared" si="3"/>
        <v>190022.49369512548</v>
      </c>
      <c r="AF12" s="95">
        <f t="shared" si="3"/>
        <v>190022.49369512548</v>
      </c>
      <c r="AG12" s="84"/>
      <c r="AH12" s="118">
        <f t="shared" si="6"/>
        <v>5</v>
      </c>
      <c r="AI12" s="94">
        <f>IF(E$5*$AH12&lt;E$5*E$14,(E$19*E$6*(1+Overview!$B$53)^-(E$5*$AH12)),0)</f>
        <v>1063296.2045353528</v>
      </c>
      <c r="AJ12" s="89">
        <f>IF(F$5*$AH12&lt;F$5*F$14,(F$19*F$6*(1+Overview!$B$53)^-(F$5*$AH12)),0)</f>
        <v>1084562.1286260597</v>
      </c>
      <c r="AK12" s="95">
        <f>IF(G$5*$AH12&lt;G$5*G$14,(G$19*G$6*(1+Overview!$B$53)^-(G$5*$AH12)),0)</f>
        <v>1268725.031251583</v>
      </c>
      <c r="AL12" s="94">
        <f>IF($AH12=0,0,IF(E$5*$AH12&lt;=E$5*E$14,(E$22*E$6*(1+Overview!$B$53)^-(E$5*$AH12)),0))</f>
        <v>0</v>
      </c>
      <c r="AM12" s="89">
        <f>IF($AH12=0,0,IF(F$5*$AH12&lt;=F$5*F$14,(F$22*F$6*(1+Overview!$B$53)^-(F$5*$AH12)),0))</f>
        <v>0</v>
      </c>
      <c r="AN12" s="95">
        <f>IF($AH12=0,0,IF(G$5*$AH12&lt;=G$5*G$14,(G$22*G$6*(1+Overview!$B$53)^-(G$5*$AH12)),0))</f>
        <v>0</v>
      </c>
      <c r="AO12" s="94">
        <f>IF(E$16&gt;0,IF($AH11*E$14=E$4,-(E$16/E$5)*E$19*E$6*(1+Overview!$B$53)^-E$4+(E$22*E$6*(1+Overview!$B$53)^-E$4),0),0)</f>
        <v>0</v>
      </c>
      <c r="AP12" s="89">
        <f>IF(F$16&gt;0,IF($AH11*F$14=F$4,-(F$16/F$5)*F$19*F$6*(1+Overview!$B$53)^-F$4+(F$22*F$6*(1+Overview!$B$53)^-F$4),0),0)</f>
        <v>0</v>
      </c>
      <c r="AQ12" s="95">
        <f>IF(G$16&gt;0,IF($AH11*G$14=G$4,-(G$16/G$5)*G$19*G$6*(1+Overview!$B$53)^-G$4+(G$22*G$6*(1+Overview!$B$53)^-G$4),0),0)</f>
        <v>0</v>
      </c>
      <c r="AR12" s="84"/>
      <c r="AS12" s="109">
        <f t="shared" si="7"/>
        <v>6</v>
      </c>
      <c r="AT12" s="94">
        <f>IF($AS12&lt;E$4,E$20*E$6*E$11*(1+Overview!$B$53)^-($AS12),0)</f>
        <v>81350.064430775281</v>
      </c>
      <c r="AU12" s="89">
        <f>IF($AS12&lt;F$4,F$20*F$6*F$11*(1+Overview!$B$53)^-($AS12),0)</f>
        <v>40675.03221538764</v>
      </c>
      <c r="AV12" s="89">
        <f>IF($AS12&lt;G$4,G$20*G$6*G$11*(1+Overview!$B$53)^-($AS12),0)</f>
        <v>40675.03221538764</v>
      </c>
      <c r="AW12" s="94">
        <f>IF(E$67=0,IF($AS12&lt;E$4,E$55*(1+Overview!$B$53)^-($AS12),0),IF($AS12&lt;E$4,E$67*(1+Overview!$B$53)^-($AS12),0))</f>
        <v>253363.324926834</v>
      </c>
      <c r="AX12" s="89">
        <f>IF(F$67=0,IF($AS12&lt;F$4,F$55*(1+Overview!$B$53)^-($AS12),0),IF($AS12&lt;F$4,F$67*(1+Overview!$B$53)^-($AS12),0))</f>
        <v>190022.49369512548</v>
      </c>
      <c r="AY12" s="89">
        <f>IF(G$67=0,IF($AS12&lt;G$4,G$55*(1+Overview!$B$53)^-($AS12),0),IF($AS12&lt;G$4,G$67*(1+Overview!$B$53)^-($AS12),0))</f>
        <v>190022.49369512548</v>
      </c>
      <c r="AZ12" s="89">
        <f>IF(E$68=0,IF($AS12&lt;E$4,E$56*(1+Overview!$B$53)^-($AS12),0),IF($AS12&lt;E$4,E$68*(1+Overview!$B$53)^-($AS12),0))</f>
        <v>0</v>
      </c>
      <c r="BA12" s="89">
        <f>IF(F$68=0,IF($AS12&lt;F$4,F$56*(1+Overview!$B$53)^-($AS12),0),IF($AS12&lt;F$4,F$68*(1+Overview!$B$53)^-($AS12),0))</f>
        <v>0</v>
      </c>
      <c r="BB12" s="89">
        <f>IF(G$68=0,IF($AS12&lt;G$4,G$56*(1+Overview!$B$53)^-($AS12),0),IF($AS12&lt;G$4,G$68*(1+Overview!$B$53)^-($AS12),0))</f>
        <v>0</v>
      </c>
      <c r="BC12" s="89">
        <f>IF(E$69=0,IF($AS12&lt;E$4,E$57*(1+Overview!$B$53)^-($AS12),0),IF($AS12&lt;E$4,E$69*(1+Overview!$B$53)^-($AS12),0))</f>
        <v>0</v>
      </c>
      <c r="BD12" s="89">
        <f>IF(F$69=0,IF($AS12&lt;F$4,F$57*(1+Overview!$B$53)^-($AS12),0),IF($AS12&lt;F$4,F$69*(1+Overview!$B$53)^-($AS12),0))</f>
        <v>0</v>
      </c>
      <c r="BE12" s="95">
        <f>IF(G$69=0,IF($AS12&lt;G$4,G$57*(1+Overview!$B$53)^-($AS12),0),IF($AS12&lt;G$4,G$69*(1+Overview!$B$53)^-($AS12),0))</f>
        <v>0</v>
      </c>
      <c r="BF12" s="1"/>
    </row>
    <row r="13" spans="1:58" ht="15" thickBot="1" x14ac:dyDescent="0.35">
      <c r="A13" s="33"/>
      <c r="B13" s="33"/>
      <c r="C13" s="33"/>
      <c r="D13" s="33"/>
      <c r="H13" s="33"/>
      <c r="I13" s="70"/>
      <c r="J13" s="70"/>
      <c r="K13" s="139" t="s">
        <v>0</v>
      </c>
      <c r="L13" s="213" t="s">
        <v>56</v>
      </c>
      <c r="M13" s="214">
        <f>M$12*((1-(1+Overview!$B$53)^-E$4)/Overview!$B$53)</f>
        <v>26627.837213522202</v>
      </c>
      <c r="N13" s="214">
        <f>N$12*((1-(1+Overview!$B$53)^-F$4)/Overview!$B$53)</f>
        <v>23782.914304395752</v>
      </c>
      <c r="O13" s="214">
        <f>O$12*((1-(1+Overview!$B$53)^-G$4)/Overview!$B$53)</f>
        <v>26626.269032812226</v>
      </c>
      <c r="P13" s="146"/>
      <c r="Q13" s="1"/>
      <c r="R13" s="118">
        <f t="shared" si="4"/>
        <v>6</v>
      </c>
      <c r="S13" s="94">
        <f t="shared" si="0"/>
        <v>780173.35787925136</v>
      </c>
      <c r="T13" s="89">
        <f t="shared" si="0"/>
        <v>795776.82503683632</v>
      </c>
      <c r="U13" s="95">
        <f t="shared" si="0"/>
        <v>930902.85062152275</v>
      </c>
      <c r="V13" s="94">
        <f t="shared" si="1"/>
        <v>0</v>
      </c>
      <c r="W13" s="89">
        <f t="shared" si="1"/>
        <v>0</v>
      </c>
      <c r="X13" s="95">
        <f t="shared" si="1"/>
        <v>0</v>
      </c>
      <c r="Y13" s="89"/>
      <c r="Z13" s="118">
        <f t="shared" si="5"/>
        <v>7</v>
      </c>
      <c r="AA13" s="94">
        <f t="shared" si="2"/>
        <v>78599.096068381914</v>
      </c>
      <c r="AB13" s="89">
        <f t="shared" si="2"/>
        <v>39299.548034190957</v>
      </c>
      <c r="AC13" s="95">
        <f t="shared" si="2"/>
        <v>39299.548034190957</v>
      </c>
      <c r="AD13" s="94">
        <f t="shared" si="3"/>
        <v>244795.48302109563</v>
      </c>
      <c r="AE13" s="89">
        <f t="shared" si="3"/>
        <v>183596.61226582172</v>
      </c>
      <c r="AF13" s="95">
        <f t="shared" si="3"/>
        <v>183596.61226582172</v>
      </c>
      <c r="AG13" s="84"/>
      <c r="AH13" s="118">
        <f t="shared" si="6"/>
        <v>6</v>
      </c>
      <c r="AI13" s="94">
        <f>IF(E$5*$AH13&lt;E$5*E$14,(E$19*E$6*(1+Overview!$B$53)^-(E$5*$AH13)),0)</f>
        <v>780173.35787925136</v>
      </c>
      <c r="AJ13" s="89">
        <f>IF(F$5*$AH13&lt;F$5*F$14,(F$19*F$6*(1+Overview!$B$53)^-(F$5*$AH13)),0)</f>
        <v>795776.82503683632</v>
      </c>
      <c r="AK13" s="95">
        <f>IF(G$5*$AH13&lt;G$5*G$14,(G$19*G$6*(1+Overview!$B$53)^-(G$5*$AH13)),0)</f>
        <v>930902.85062152275</v>
      </c>
      <c r="AL13" s="94">
        <f>IF($AH13=0,0,IF(E$5*$AH13&lt;=E$5*E$14,(E$22*E$6*(1+Overview!$B$53)^-(E$5*$AH13)),0))</f>
        <v>0</v>
      </c>
      <c r="AM13" s="89">
        <f>IF($AH13=0,0,IF(F$5*$AH13&lt;=F$5*F$14,(F$22*F$6*(1+Overview!$B$53)^-(F$5*$AH13)),0))</f>
        <v>0</v>
      </c>
      <c r="AN13" s="95">
        <f>IF($AH13=0,0,IF(G$5*$AH13&lt;=G$5*G$14,(G$22*G$6*(1+Overview!$B$53)^-(G$5*$AH13)),0))</f>
        <v>0</v>
      </c>
      <c r="AO13" s="94">
        <f>IF(E$16&gt;0,IF($AH12*E$14=E$4,-(E$16/E$5)*E$19*E$6*(1+Overview!$B$53)^-E$4+(E$22*E$6*(1+Overview!$B$53)^-E$4),0),0)</f>
        <v>0</v>
      </c>
      <c r="AP13" s="89">
        <f>IF(F$16&gt;0,IF($AH12*F$14=F$4,-(F$16/F$5)*F$19*F$6*(1+Overview!$B$53)^-F$4+(F$22*F$6*(1+Overview!$B$53)^-F$4),0),0)</f>
        <v>0</v>
      </c>
      <c r="AQ13" s="95">
        <f>IF(G$16&gt;0,IF($AH12*G$14=G$4,-(G$16/G$5)*G$19*G$6*(1+Overview!$B$53)^-G$4+(G$22*G$6*(1+Overview!$B$53)^-G$4),0),0)</f>
        <v>0</v>
      </c>
      <c r="AR13" s="84"/>
      <c r="AS13" s="109">
        <f t="shared" si="7"/>
        <v>7</v>
      </c>
      <c r="AT13" s="94">
        <f>IF($AS13&lt;E$4,E$20*E$6*E$11*(1+Overview!$B$53)^-($AS13),0)</f>
        <v>78599.096068381914</v>
      </c>
      <c r="AU13" s="89">
        <f>IF($AS13&lt;F$4,F$20*F$6*F$11*(1+Overview!$B$53)^-($AS13),0)</f>
        <v>39299.548034190957</v>
      </c>
      <c r="AV13" s="89">
        <f>IF($AS13&lt;G$4,G$20*G$6*G$11*(1+Overview!$B$53)^-($AS13),0)</f>
        <v>39299.548034190957</v>
      </c>
      <c r="AW13" s="94">
        <f>IF(E$67=0,IF($AS13&lt;E$4,E$55*(1+Overview!$B$53)^-($AS13),0),IF($AS13&lt;E$4,E$67*(1+Overview!$B$53)^-($AS13),0))</f>
        <v>244795.48302109563</v>
      </c>
      <c r="AX13" s="89">
        <f>IF(F$67=0,IF($AS13&lt;F$4,F$55*(1+Overview!$B$53)^-($AS13),0),IF($AS13&lt;F$4,F$67*(1+Overview!$B$53)^-($AS13),0))</f>
        <v>183596.61226582172</v>
      </c>
      <c r="AY13" s="89">
        <f>IF(G$67=0,IF($AS13&lt;G$4,G$55*(1+Overview!$B$53)^-($AS13),0),IF($AS13&lt;G$4,G$67*(1+Overview!$B$53)^-($AS13),0))</f>
        <v>183596.61226582172</v>
      </c>
      <c r="AZ13" s="89">
        <f>IF(E$68=0,IF($AS13&lt;E$4,E$56*(1+Overview!$B$53)^-($AS13),0),IF($AS13&lt;E$4,E$68*(1+Overview!$B$53)^-($AS13),0))</f>
        <v>0</v>
      </c>
      <c r="BA13" s="89">
        <f>IF(F$68=0,IF($AS13&lt;F$4,F$56*(1+Overview!$B$53)^-($AS13),0),IF($AS13&lt;F$4,F$68*(1+Overview!$B$53)^-($AS13),0))</f>
        <v>0</v>
      </c>
      <c r="BB13" s="89">
        <f>IF(G$68=0,IF($AS13&lt;G$4,G$56*(1+Overview!$B$53)^-($AS13),0),IF($AS13&lt;G$4,G$68*(1+Overview!$B$53)^-($AS13),0))</f>
        <v>0</v>
      </c>
      <c r="BC13" s="89">
        <f>IF(E$69=0,IF($AS13&lt;E$4,E$57*(1+Overview!$B$53)^-($AS13),0),IF($AS13&lt;E$4,E$69*(1+Overview!$B$53)^-($AS13),0))</f>
        <v>0</v>
      </c>
      <c r="BD13" s="89">
        <f>IF(F$69=0,IF($AS13&lt;F$4,F$57*(1+Overview!$B$53)^-($AS13),0),IF($AS13&lt;F$4,F$69*(1+Overview!$B$53)^-($AS13),0))</f>
        <v>0</v>
      </c>
      <c r="BE13" s="95">
        <f>IF(G$69=0,IF($AS13&lt;G$4,G$57*(1+Overview!$B$53)^-($AS13),0),IF($AS13&lt;G$4,G$69*(1+Overview!$B$53)^-($AS13),0))</f>
        <v>0</v>
      </c>
      <c r="BF13" s="1"/>
    </row>
    <row r="14" spans="1:58" x14ac:dyDescent="0.3">
      <c r="A14" s="33"/>
      <c r="B14" s="188" t="s">
        <v>57</v>
      </c>
      <c r="C14" s="189" t="s">
        <v>58</v>
      </c>
      <c r="D14" s="189" t="s">
        <v>59</v>
      </c>
      <c r="E14" s="191">
        <f>E4/E5</f>
        <v>6.666666666666667</v>
      </c>
      <c r="F14" s="192">
        <f>F4/F5</f>
        <v>6.666666666666667</v>
      </c>
      <c r="G14" s="193">
        <f>G4/G5</f>
        <v>6.666666666666667</v>
      </c>
      <c r="H14" s="194" t="s">
        <v>60</v>
      </c>
      <c r="I14" s="70"/>
      <c r="J14" s="70"/>
      <c r="K14" s="139"/>
      <c r="L14" s="208"/>
      <c r="M14" s="209"/>
      <c r="N14" s="210"/>
      <c r="O14" s="210"/>
      <c r="P14" s="146"/>
      <c r="R14" s="118">
        <f t="shared" si="4"/>
        <v>7</v>
      </c>
      <c r="S14" s="94">
        <f t="shared" si="0"/>
        <v>0</v>
      </c>
      <c r="T14" s="89">
        <f t="shared" si="0"/>
        <v>0</v>
      </c>
      <c r="U14" s="95">
        <f t="shared" si="0"/>
        <v>0</v>
      </c>
      <c r="V14" s="94">
        <f t="shared" si="1"/>
        <v>0</v>
      </c>
      <c r="W14" s="89">
        <f t="shared" si="1"/>
        <v>0</v>
      </c>
      <c r="X14" s="95">
        <f t="shared" si="1"/>
        <v>0</v>
      </c>
      <c r="Y14" s="89"/>
      <c r="Z14" s="118">
        <f t="shared" si="5"/>
        <v>8</v>
      </c>
      <c r="AA14" s="94">
        <f t="shared" si="2"/>
        <v>75941.155621625061</v>
      </c>
      <c r="AB14" s="89">
        <f t="shared" si="2"/>
        <v>37970.577810812531</v>
      </c>
      <c r="AC14" s="95">
        <f t="shared" si="2"/>
        <v>37970.577810812531</v>
      </c>
      <c r="AD14" s="94">
        <f t="shared" si="3"/>
        <v>236517.37489960936</v>
      </c>
      <c r="AE14" s="89">
        <f t="shared" si="3"/>
        <v>177388.03117470702</v>
      </c>
      <c r="AF14" s="95">
        <f t="shared" si="3"/>
        <v>177388.03117470702</v>
      </c>
      <c r="AG14" s="84"/>
      <c r="AH14" s="118">
        <f t="shared" si="6"/>
        <v>7</v>
      </c>
      <c r="AI14" s="94">
        <f>IF(E$5*$AH14&lt;E$5*E$14,(E$19*E$6*(1+Overview!$B$53)^-(E$5*$AH14)),0)</f>
        <v>0</v>
      </c>
      <c r="AJ14" s="89">
        <f>IF(F$5*$AH14&lt;F$5*F$14,(F$19*F$6*(1+Overview!$B$53)^-(F$5*$AH14)),0)</f>
        <v>0</v>
      </c>
      <c r="AK14" s="95">
        <f>IF(G$5*$AH14&lt;G$5*G$14,(G$19*G$6*(1+Overview!$B$53)^-(G$5*$AH14)),0)</f>
        <v>0</v>
      </c>
      <c r="AL14" s="94">
        <f>IF($AH14=0,0,IF(E$5*$AH14&lt;=E$5*E$14,(E$22*E$6*(1+Overview!$B$53)^-(E$5*$AH14)),0))</f>
        <v>0</v>
      </c>
      <c r="AM14" s="89">
        <f>IF($AH14=0,0,IF(F$5*$AH14&lt;=F$5*F$14,(F$22*F$6*(1+Overview!$B$53)^-(F$5*$AH14)),0))</f>
        <v>0</v>
      </c>
      <c r="AN14" s="95">
        <f>IF($AH14=0,0,IF(G$5*$AH14&lt;=G$5*G$14,(G$22*G$6*(1+Overview!$B$53)^-(G$5*$AH14)),0))</f>
        <v>0</v>
      </c>
      <c r="AO14" s="94">
        <f>IF(E$16&gt;0,IF($AH13*E$14=E$4,-(E$16/E$5)*E$19*E$6*(1+Overview!$B$53)^-E$4+(E$22*E$6*(1+Overview!$B$53)^-E$4),0),0)</f>
        <v>0</v>
      </c>
      <c r="AP14" s="89">
        <f>IF(F$16&gt;0,IF($AH13*F$14=F$4,-(F$16/F$5)*F$19*F$6*(1+Overview!$B$53)^-F$4+(F$22*F$6*(1+Overview!$B$53)^-F$4),0),0)</f>
        <v>0</v>
      </c>
      <c r="AQ14" s="95">
        <f>IF(G$16&gt;0,IF($AH13*G$14=G$4,-(G$16/G$5)*G$19*G$6*(1+Overview!$B$53)^-G$4+(G$22*G$6*(1+Overview!$B$53)^-G$4),0),0)</f>
        <v>0</v>
      </c>
      <c r="AR14" s="84"/>
      <c r="AS14" s="109">
        <f t="shared" si="7"/>
        <v>8</v>
      </c>
      <c r="AT14" s="94">
        <f>IF($AS14&lt;E$4,E$20*E$6*E$11*(1+Overview!$B$53)^-($AS14),0)</f>
        <v>75941.155621625061</v>
      </c>
      <c r="AU14" s="89">
        <f>IF($AS14&lt;F$4,F$20*F$6*F$11*(1+Overview!$B$53)^-($AS14),0)</f>
        <v>37970.577810812531</v>
      </c>
      <c r="AV14" s="89">
        <f>IF($AS14&lt;G$4,G$20*G$6*G$11*(1+Overview!$B$53)^-($AS14),0)</f>
        <v>37970.577810812531</v>
      </c>
      <c r="AW14" s="94">
        <f>IF(E$67=0,IF($AS14&lt;E$4,E$55*(1+Overview!$B$53)^-($AS14),0),IF($AS14&lt;E$4,E$67*(1+Overview!$B$53)^-($AS14),0))</f>
        <v>236517.37489960936</v>
      </c>
      <c r="AX14" s="89">
        <f>IF(F$67=0,IF($AS14&lt;F$4,F$55*(1+Overview!$B$53)^-($AS14),0),IF($AS14&lt;F$4,F$67*(1+Overview!$B$53)^-($AS14),0))</f>
        <v>177388.03117470702</v>
      </c>
      <c r="AY14" s="89">
        <f>IF(G$67=0,IF($AS14&lt;G$4,G$55*(1+Overview!$B$53)^-($AS14),0),IF($AS14&lt;G$4,G$67*(1+Overview!$B$53)^-($AS14),0))</f>
        <v>177388.03117470702</v>
      </c>
      <c r="AZ14" s="89">
        <f>IF(E$68=0,IF($AS14&lt;E$4,E$56*(1+Overview!$B$53)^-($AS14),0),IF($AS14&lt;E$4,E$68*(1+Overview!$B$53)^-($AS14),0))</f>
        <v>0</v>
      </c>
      <c r="BA14" s="89">
        <f>IF(F$68=0,IF($AS14&lt;F$4,F$56*(1+Overview!$B$53)^-($AS14),0),IF($AS14&lt;F$4,F$68*(1+Overview!$B$53)^-($AS14),0))</f>
        <v>0</v>
      </c>
      <c r="BB14" s="89">
        <f>IF(G$68=0,IF($AS14&lt;G$4,G$56*(1+Overview!$B$53)^-($AS14),0),IF($AS14&lt;G$4,G$68*(1+Overview!$B$53)^-($AS14),0))</f>
        <v>0</v>
      </c>
      <c r="BC14" s="89">
        <f>IF(E$69=0,IF($AS14&lt;E$4,E$57*(1+Overview!$B$53)^-($AS14),0),IF($AS14&lt;E$4,E$69*(1+Overview!$B$53)^-($AS14),0))</f>
        <v>0</v>
      </c>
      <c r="BD14" s="89">
        <f>IF(F$69=0,IF($AS14&lt;F$4,F$57*(1+Overview!$B$53)^-($AS14),0),IF($AS14&lt;F$4,F$69*(1+Overview!$B$53)^-($AS14),0))</f>
        <v>0</v>
      </c>
      <c r="BE14" s="95">
        <f>IF(G$69=0,IF($AS14&lt;G$4,G$57*(1+Overview!$B$53)^-($AS14),0),IF($AS14&lt;G$4,G$69*(1+Overview!$B$53)^-($AS14),0))</f>
        <v>0</v>
      </c>
      <c r="BF14" s="1"/>
    </row>
    <row r="15" spans="1:58" x14ac:dyDescent="0.3">
      <c r="A15" s="56"/>
      <c r="B15" s="189"/>
      <c r="C15" s="189" t="s">
        <v>47</v>
      </c>
      <c r="D15" s="189" t="s">
        <v>61</v>
      </c>
      <c r="E15" s="195">
        <f>E$4*E11</f>
        <v>120</v>
      </c>
      <c r="F15" s="196">
        <f>F$4*F11</f>
        <v>60</v>
      </c>
      <c r="G15" s="197">
        <f>G$4*G11</f>
        <v>60</v>
      </c>
      <c r="H15" s="194" t="s">
        <v>60</v>
      </c>
      <c r="I15" s="70"/>
      <c r="J15" s="70"/>
      <c r="K15" s="139"/>
      <c r="L15" s="60" t="s">
        <v>62</v>
      </c>
      <c r="M15" s="33"/>
      <c r="N15" s="33"/>
      <c r="O15" s="33"/>
      <c r="P15" s="146"/>
      <c r="R15" s="118">
        <f t="shared" si="4"/>
        <v>8</v>
      </c>
      <c r="S15" s="94">
        <f t="shared" si="0"/>
        <v>0</v>
      </c>
      <c r="T15" s="89">
        <f t="shared" si="0"/>
        <v>0</v>
      </c>
      <c r="U15" s="95">
        <f t="shared" si="0"/>
        <v>0</v>
      </c>
      <c r="V15" s="94">
        <f t="shared" si="1"/>
        <v>0</v>
      </c>
      <c r="W15" s="89">
        <f t="shared" si="1"/>
        <v>0</v>
      </c>
      <c r="X15" s="95">
        <f t="shared" si="1"/>
        <v>0</v>
      </c>
      <c r="Y15" s="89"/>
      <c r="Z15" s="118">
        <f t="shared" si="5"/>
        <v>9</v>
      </c>
      <c r="AA15" s="94">
        <f t="shared" si="2"/>
        <v>73373.097218961411</v>
      </c>
      <c r="AB15" s="89">
        <f t="shared" si="2"/>
        <v>36686.548609480706</v>
      </c>
      <c r="AC15" s="95">
        <f t="shared" si="2"/>
        <v>36686.548609480706</v>
      </c>
      <c r="AD15" s="94">
        <f t="shared" si="3"/>
        <v>228519.20280155496</v>
      </c>
      <c r="AE15" s="89">
        <f t="shared" si="3"/>
        <v>171389.40210116623</v>
      </c>
      <c r="AF15" s="95">
        <f t="shared" si="3"/>
        <v>171389.40210116623</v>
      </c>
      <c r="AG15" s="84"/>
      <c r="AH15" s="118">
        <f t="shared" si="6"/>
        <v>8</v>
      </c>
      <c r="AI15" s="94">
        <f>IF(E$5*$AH15&lt;E$5*E$14,(E$19*E$6*(1+Overview!$B$53)^-(E$5*$AH15)),0)</f>
        <v>0</v>
      </c>
      <c r="AJ15" s="89">
        <f>IF(F$5*$AH15&lt;F$5*F$14,(F$19*F$6*(1+Overview!$B$53)^-(F$5*$AH15)),0)</f>
        <v>0</v>
      </c>
      <c r="AK15" s="95">
        <f>IF(G$5*$AH15&lt;G$5*G$14,(G$19*G$6*(1+Overview!$B$53)^-(G$5*$AH15)),0)</f>
        <v>0</v>
      </c>
      <c r="AL15" s="94">
        <f>IF($AH15=0,0,IF(E$5*$AH15&lt;=E$5*E$14,(E$22*E$6*(1+Overview!$B$53)^-(E$5*$AH15)),0))</f>
        <v>0</v>
      </c>
      <c r="AM15" s="89">
        <f>IF($AH15=0,0,IF(F$5*$AH15&lt;=F$5*F$14,(F$22*F$6*(1+Overview!$B$53)^-(F$5*$AH15)),0))</f>
        <v>0</v>
      </c>
      <c r="AN15" s="95">
        <f>IF($AH15=0,0,IF(G$5*$AH15&lt;=G$5*G$14,(G$22*G$6*(1+Overview!$B$53)^-(G$5*$AH15)),0))</f>
        <v>0</v>
      </c>
      <c r="AO15" s="94">
        <f>IF(E$16&gt;0,IF($AH14*E$14=E$4,-(E$16/E$5)*E$19*E$6*(1+Overview!$B$53)^-E$4+(E$22*E$6*(1+Overview!$B$53)^-E$4),0),0)</f>
        <v>0</v>
      </c>
      <c r="AP15" s="89">
        <f>IF(F$16&gt;0,IF($AH14*F$14=F$4,-(F$16/F$5)*F$19*F$6*(1+Overview!$B$53)^-F$4+(F$22*F$6*(1+Overview!$B$53)^-F$4),0),0)</f>
        <v>0</v>
      </c>
      <c r="AQ15" s="95">
        <f>IF(G$16&gt;0,IF($AH14*G$14=G$4,-(G$16/G$5)*G$19*G$6*(1+Overview!$B$53)^-G$4+(G$22*G$6*(1+Overview!$B$53)^-G$4),0),0)</f>
        <v>0</v>
      </c>
      <c r="AR15" s="84"/>
      <c r="AS15" s="109">
        <f t="shared" si="7"/>
        <v>9</v>
      </c>
      <c r="AT15" s="94">
        <f>IF($AS15&lt;E$4,E$20*E$6*E$11*(1+Overview!$B$53)^-($AS15),0)</f>
        <v>73373.097218961411</v>
      </c>
      <c r="AU15" s="89">
        <f>IF($AS15&lt;F$4,F$20*F$6*F$11*(1+Overview!$B$53)^-($AS15),0)</f>
        <v>36686.548609480706</v>
      </c>
      <c r="AV15" s="89">
        <f>IF($AS15&lt;G$4,G$20*G$6*G$11*(1+Overview!$B$53)^-($AS15),0)</f>
        <v>36686.548609480706</v>
      </c>
      <c r="AW15" s="94">
        <f>IF(E$67=0,IF($AS15&lt;E$4,E$55*(1+Overview!$B$53)^-($AS15),0),IF($AS15&lt;E$4,E$67*(1+Overview!$B$53)^-($AS15),0))</f>
        <v>228519.20280155496</v>
      </c>
      <c r="AX15" s="89">
        <f>IF(F$67=0,IF($AS15&lt;F$4,F$55*(1+Overview!$B$53)^-($AS15),0),IF($AS15&lt;F$4,F$67*(1+Overview!$B$53)^-($AS15),0))</f>
        <v>171389.40210116623</v>
      </c>
      <c r="AY15" s="89">
        <f>IF(G$67=0,IF($AS15&lt;G$4,G$55*(1+Overview!$B$53)^-($AS15),0),IF($AS15&lt;G$4,G$67*(1+Overview!$B$53)^-($AS15),0))</f>
        <v>171389.40210116623</v>
      </c>
      <c r="AZ15" s="89">
        <f>IF(E$68=0,IF($AS15&lt;E$4,E$56*(1+Overview!$B$53)^-($AS15),0),IF($AS15&lt;E$4,E$68*(1+Overview!$B$53)^-($AS15),0))</f>
        <v>0</v>
      </c>
      <c r="BA15" s="89">
        <f>IF(F$68=0,IF($AS15&lt;F$4,F$56*(1+Overview!$B$53)^-($AS15),0),IF($AS15&lt;F$4,F$68*(1+Overview!$B$53)^-($AS15),0))</f>
        <v>0</v>
      </c>
      <c r="BB15" s="89">
        <f>IF(G$68=0,IF($AS15&lt;G$4,G$56*(1+Overview!$B$53)^-($AS15),0),IF($AS15&lt;G$4,G$68*(1+Overview!$B$53)^-($AS15),0))</f>
        <v>0</v>
      </c>
      <c r="BC15" s="89">
        <f>IF(E$69=0,IF($AS15&lt;E$4,E$57*(1+Overview!$B$53)^-($AS15),0),IF($AS15&lt;E$4,E$69*(1+Overview!$B$53)^-($AS15),0))</f>
        <v>0</v>
      </c>
      <c r="BD15" s="89">
        <f>IF(F$69=0,IF($AS15&lt;F$4,F$57*(1+Overview!$B$53)^-($AS15),0),IF($AS15&lt;F$4,F$69*(1+Overview!$B$53)^-($AS15),0))</f>
        <v>0</v>
      </c>
      <c r="BE15" s="95">
        <f>IF(G$69=0,IF($AS15&lt;G$4,G$57*(1+Overview!$B$53)^-($AS15),0),IF($AS15&lt;G$4,G$69*(1+Overview!$B$53)^-($AS15),0))</f>
        <v>0</v>
      </c>
      <c r="BF15" s="1"/>
    </row>
    <row r="16" spans="1:58" ht="15" thickBot="1" x14ac:dyDescent="0.35">
      <c r="A16" s="68"/>
      <c r="B16" s="188"/>
      <c r="C16" s="190" t="s">
        <v>63</v>
      </c>
      <c r="D16" s="190" t="s">
        <v>64</v>
      </c>
      <c r="E16" s="198">
        <f>IF(E4=E5*ROUNDDOWN(E14,0),0,E5-(E4-E5*ROUNDDOWN(E14,0)))</f>
        <v>3</v>
      </c>
      <c r="F16" s="199">
        <f>IF(F4=F5*ROUNDDOWN(F14,0),0,F5-(F4-F5*ROUNDDOWN(F14,0)))</f>
        <v>3</v>
      </c>
      <c r="G16" s="200">
        <f>IF(G4=G5*ROUNDDOWN(G14,0),0,G5-(G4-G5*ROUNDDOWN(G14,0)))</f>
        <v>3</v>
      </c>
      <c r="H16" s="194" t="s">
        <v>60</v>
      </c>
      <c r="I16" s="70"/>
      <c r="J16" s="70"/>
      <c r="K16" s="139"/>
      <c r="L16" s="152" t="s">
        <v>43</v>
      </c>
      <c r="M16" s="153">
        <f t="shared" ref="M16:O18" si="8">(M8/$M$10)*100</f>
        <v>70.972259477261815</v>
      </c>
      <c r="N16" s="154">
        <f t="shared" si="8"/>
        <v>67.545176652174362</v>
      </c>
      <c r="O16" s="155">
        <f t="shared" si="8"/>
        <v>78.223305354916164</v>
      </c>
      <c r="P16" s="144"/>
      <c r="R16" s="118">
        <f t="shared" si="4"/>
        <v>9</v>
      </c>
      <c r="S16" s="94">
        <f t="shared" si="0"/>
        <v>0</v>
      </c>
      <c r="T16" s="89">
        <f t="shared" si="0"/>
        <v>0</v>
      </c>
      <c r="U16" s="95">
        <f t="shared" si="0"/>
        <v>0</v>
      </c>
      <c r="V16" s="94">
        <f t="shared" si="1"/>
        <v>0</v>
      </c>
      <c r="W16" s="89">
        <f t="shared" si="1"/>
        <v>0</v>
      </c>
      <c r="X16" s="95">
        <f t="shared" si="1"/>
        <v>0</v>
      </c>
      <c r="Y16" s="89"/>
      <c r="Z16" s="118">
        <f t="shared" si="5"/>
        <v>10</v>
      </c>
      <c r="AA16" s="94">
        <f t="shared" si="2"/>
        <v>70891.881370977222</v>
      </c>
      <c r="AB16" s="89">
        <f t="shared" si="2"/>
        <v>35445.940685488611</v>
      </c>
      <c r="AC16" s="95">
        <f t="shared" si="2"/>
        <v>35445.940685488611</v>
      </c>
      <c r="AD16" s="94">
        <f t="shared" si="3"/>
        <v>220791.50029135749</v>
      </c>
      <c r="AE16" s="89">
        <f t="shared" si="3"/>
        <v>165593.62521851811</v>
      </c>
      <c r="AF16" s="95">
        <f t="shared" si="3"/>
        <v>165593.62521851811</v>
      </c>
      <c r="AG16" s="84"/>
      <c r="AH16" s="118">
        <f t="shared" si="6"/>
        <v>9</v>
      </c>
      <c r="AI16" s="94">
        <f>IF(E$5*$AH16&lt;E$5*E$14,(E$19*E$6*(1+Overview!$B$53)^-(E$5*$AH16)),0)</f>
        <v>0</v>
      </c>
      <c r="AJ16" s="89">
        <f>IF(F$5*$AH16&lt;F$5*F$14,(F$19*F$6*(1+Overview!$B$53)^-(F$5*$AH16)),0)</f>
        <v>0</v>
      </c>
      <c r="AK16" s="95">
        <f>IF(G$5*$AH16&lt;G$5*G$14,(G$19*G$6*(1+Overview!$B$53)^-(G$5*$AH16)),0)</f>
        <v>0</v>
      </c>
      <c r="AL16" s="94">
        <f>IF($AH16=0,0,IF(E$5*$AH16&lt;=E$5*E$14,(E$22*E$6*(1+Overview!$B$53)^-(E$5*$AH16)),0))</f>
        <v>0</v>
      </c>
      <c r="AM16" s="89">
        <f>IF($AH16=0,0,IF(F$5*$AH16&lt;=F$5*F$14,(F$22*F$6*(1+Overview!$B$53)^-(F$5*$AH16)),0))</f>
        <v>0</v>
      </c>
      <c r="AN16" s="95">
        <f>IF($AH16=0,0,IF(G$5*$AH16&lt;=G$5*G$14,(G$22*G$6*(1+Overview!$B$53)^-(G$5*$AH16)),0))</f>
        <v>0</v>
      </c>
      <c r="AO16" s="94">
        <f>IF(E$16&gt;0,IF($AH15*E$14=E$4,-(E$16/E$5)*E$19*E$6*(1+Overview!$B$53)^-E$4+(E$22*E$6*(1+Overview!$B$53)^-E$4),0),0)</f>
        <v>0</v>
      </c>
      <c r="AP16" s="89">
        <f>IF(F$16&gt;0,IF($AH15*F$14=F$4,-(F$16/F$5)*F$19*F$6*(1+Overview!$B$53)^-F$4+(F$22*F$6*(1+Overview!$B$53)^-F$4),0),0)</f>
        <v>0</v>
      </c>
      <c r="AQ16" s="95">
        <f>IF(G$16&gt;0,IF($AH15*G$14=G$4,-(G$16/G$5)*G$19*G$6*(1+Overview!$B$53)^-G$4+(G$22*G$6*(1+Overview!$B$53)^-G$4),0),0)</f>
        <v>0</v>
      </c>
      <c r="AR16" s="84"/>
      <c r="AS16" s="109">
        <f t="shared" si="7"/>
        <v>10</v>
      </c>
      <c r="AT16" s="94">
        <f>IF($AS16&lt;E$4,E$20*E$6*E$11*(1+Overview!$B$53)^-($AS16),0)</f>
        <v>70891.881370977222</v>
      </c>
      <c r="AU16" s="89">
        <f>IF($AS16&lt;F$4,F$20*F$6*F$11*(1+Overview!$B$53)^-($AS16),0)</f>
        <v>35445.940685488611</v>
      </c>
      <c r="AV16" s="89">
        <f>IF($AS16&lt;G$4,G$20*G$6*G$11*(1+Overview!$B$53)^-($AS16),0)</f>
        <v>35445.940685488611</v>
      </c>
      <c r="AW16" s="94">
        <f>IF(E$67=0,IF($AS16&lt;E$4,E$55*(1+Overview!$B$53)^-($AS16),0),IF($AS16&lt;E$4,E$67*(1+Overview!$B$53)^-($AS16),0))</f>
        <v>220791.50029135749</v>
      </c>
      <c r="AX16" s="89">
        <f>IF(F$67=0,IF($AS16&lt;F$4,F$55*(1+Overview!$B$53)^-($AS16),0),IF($AS16&lt;F$4,F$67*(1+Overview!$B$53)^-($AS16),0))</f>
        <v>165593.62521851811</v>
      </c>
      <c r="AY16" s="89">
        <f>IF(G$67=0,IF($AS16&lt;G$4,G$55*(1+Overview!$B$53)^-($AS16),0),IF($AS16&lt;G$4,G$67*(1+Overview!$B$53)^-($AS16),0))</f>
        <v>165593.62521851811</v>
      </c>
      <c r="AZ16" s="89">
        <f>IF(E$68=0,IF($AS16&lt;E$4,E$56*(1+Overview!$B$53)^-($AS16),0),IF($AS16&lt;E$4,E$68*(1+Overview!$B$53)^-($AS16),0))</f>
        <v>0</v>
      </c>
      <c r="BA16" s="89">
        <f>IF(F$68=0,IF($AS16&lt;F$4,F$56*(1+Overview!$B$53)^-($AS16),0),IF($AS16&lt;F$4,F$68*(1+Overview!$B$53)^-($AS16),0))</f>
        <v>0</v>
      </c>
      <c r="BB16" s="89">
        <f>IF(G$68=0,IF($AS16&lt;G$4,G$56*(1+Overview!$B$53)^-($AS16),0),IF($AS16&lt;G$4,G$68*(1+Overview!$B$53)^-($AS16),0))</f>
        <v>0</v>
      </c>
      <c r="BC16" s="89">
        <f>IF(E$69=0,IF($AS16&lt;E$4,E$57*(1+Overview!$B$53)^-($AS16),0),IF($AS16&lt;E$4,E$69*(1+Overview!$B$53)^-($AS16),0))</f>
        <v>0</v>
      </c>
      <c r="BD16" s="89">
        <f>IF(F$69=0,IF($AS16&lt;F$4,F$57*(1+Overview!$B$53)^-($AS16),0),IF($AS16&lt;F$4,F$69*(1+Overview!$B$53)^-($AS16),0))</f>
        <v>0</v>
      </c>
      <c r="BE16" s="95">
        <f>IF(G$69=0,IF($AS16&lt;G$4,G$57*(1+Overview!$B$53)^-($AS16),0),IF($AS16&lt;G$4,G$69*(1+Overview!$B$53)^-($AS16),0))</f>
        <v>0</v>
      </c>
      <c r="BF16" s="1"/>
    </row>
    <row r="17" spans="1:58" ht="15" thickBot="1" x14ac:dyDescent="0.35">
      <c r="A17" s="33"/>
      <c r="B17" s="33"/>
      <c r="C17" s="33"/>
      <c r="D17" s="33"/>
      <c r="E17" s="33"/>
      <c r="F17" s="33"/>
      <c r="G17" s="33"/>
      <c r="H17" s="33"/>
      <c r="I17" s="70"/>
      <c r="J17" s="70"/>
      <c r="K17" s="139"/>
      <c r="L17" s="156" t="s">
        <v>46</v>
      </c>
      <c r="M17" s="157">
        <f t="shared" si="8"/>
        <v>29.027740522738181</v>
      </c>
      <c r="N17" s="158">
        <f t="shared" si="8"/>
        <v>21.770805392053639</v>
      </c>
      <c r="O17" s="159">
        <f t="shared" si="8"/>
        <v>21.770805392053639</v>
      </c>
      <c r="P17" s="144"/>
      <c r="R17" s="118">
        <f t="shared" si="4"/>
        <v>10</v>
      </c>
      <c r="S17" s="94">
        <f t="shared" si="0"/>
        <v>0</v>
      </c>
      <c r="T17" s="89">
        <f t="shared" si="0"/>
        <v>0</v>
      </c>
      <c r="U17" s="95">
        <f t="shared" si="0"/>
        <v>0</v>
      </c>
      <c r="V17" s="94">
        <f t="shared" si="1"/>
        <v>-211557.1764355046</v>
      </c>
      <c r="W17" s="89">
        <f t="shared" si="1"/>
        <v>-215788.31996421472</v>
      </c>
      <c r="X17" s="95">
        <f t="shared" si="1"/>
        <v>-252430.0229228441</v>
      </c>
      <c r="Y17" s="89"/>
      <c r="Z17" s="118">
        <f t="shared" si="5"/>
        <v>11</v>
      </c>
      <c r="AA17" s="94">
        <f t="shared" si="2"/>
        <v>68494.571372924853</v>
      </c>
      <c r="AB17" s="89">
        <f t="shared" si="2"/>
        <v>34247.285686462426</v>
      </c>
      <c r="AC17" s="95">
        <f t="shared" si="2"/>
        <v>34247.285686462426</v>
      </c>
      <c r="AD17" s="94">
        <f t="shared" si="3"/>
        <v>213325.12105445168</v>
      </c>
      <c r="AE17" s="89">
        <f t="shared" si="3"/>
        <v>159993.84079083876</v>
      </c>
      <c r="AF17" s="95">
        <f t="shared" si="3"/>
        <v>159993.84079083876</v>
      </c>
      <c r="AG17" s="84"/>
      <c r="AH17" s="118">
        <f t="shared" si="6"/>
        <v>10</v>
      </c>
      <c r="AI17" s="94">
        <f>IF(E$5*$AH17&lt;E$5*E$14,(E$19*E$6*(1+Overview!$B$53)^-(E$5*$AH17)),0)</f>
        <v>0</v>
      </c>
      <c r="AJ17" s="89">
        <f>IF(F$5*$AH17&lt;F$5*F$14,(F$19*F$6*(1+Overview!$B$53)^-(F$5*$AH17)),0)</f>
        <v>0</v>
      </c>
      <c r="AK17" s="95">
        <f>IF(G$5*$AH17&lt;G$5*G$14,(G$19*G$6*(1+Overview!$B$53)^-(G$5*$AH17)),0)</f>
        <v>0</v>
      </c>
      <c r="AL17" s="94">
        <f>IF($AH17=0,0,IF(E$5*$AH17&lt;=E$5*E$14,(E$22*E$6*(1+Overview!$B$53)^-(E$5*$AH17)),0))</f>
        <v>0</v>
      </c>
      <c r="AM17" s="89">
        <f>IF($AH17=0,0,IF(F$5*$AH17&lt;=F$5*F$14,(F$22*F$6*(1+Overview!$B$53)^-(F$5*$AH17)),0))</f>
        <v>0</v>
      </c>
      <c r="AN17" s="95">
        <f>IF($AH17=0,0,IF(G$5*$AH17&lt;=G$5*G$14,(G$22*G$6*(1+Overview!$B$53)^-(G$5*$AH17)),0))</f>
        <v>0</v>
      </c>
      <c r="AO17" s="94">
        <f>IF(E$16&gt;0,IF($AH16*E$14=E$4,-(E$16/E$5)*E$19*E$6*(1+Overview!$B$53)^-E$4+(E$22*E$6*(1+Overview!$B$53)^-E$4),0),0)</f>
        <v>-211557.1764355046</v>
      </c>
      <c r="AP17" s="89">
        <f>IF(F$16&gt;0,IF($AH16*F$14=F$4,-(F$16/F$5)*F$19*F$6*(1+Overview!$B$53)^-F$4+(F$22*F$6*(1+Overview!$B$53)^-F$4),0),0)</f>
        <v>-215788.31996421472</v>
      </c>
      <c r="AQ17" s="95">
        <f>IF(G$16&gt;0,IF($AH16*G$14=G$4,-(G$16/G$5)*G$19*G$6*(1+Overview!$B$53)^-G$4+(G$22*G$6*(1+Overview!$B$53)^-G$4),0),0)</f>
        <v>-252430.0229228441</v>
      </c>
      <c r="AR17" s="84"/>
      <c r="AS17" s="109">
        <f t="shared" si="7"/>
        <v>11</v>
      </c>
      <c r="AT17" s="94">
        <f>IF($AS17&lt;E$4,E$20*E$6*E$11*(1+Overview!$B$53)^-($AS17),0)</f>
        <v>68494.571372924853</v>
      </c>
      <c r="AU17" s="89">
        <f>IF($AS17&lt;F$4,F$20*F$6*F$11*(1+Overview!$B$53)^-($AS17),0)</f>
        <v>34247.285686462426</v>
      </c>
      <c r="AV17" s="89">
        <f>IF($AS17&lt;G$4,G$20*G$6*G$11*(1+Overview!$B$53)^-($AS17),0)</f>
        <v>34247.285686462426</v>
      </c>
      <c r="AW17" s="94">
        <f>IF(E$67=0,IF($AS17&lt;E$4,E$55*(1+Overview!$B$53)^-($AS17),0),IF($AS17&lt;E$4,E$67*(1+Overview!$B$53)^-($AS17),0))</f>
        <v>213325.12105445168</v>
      </c>
      <c r="AX17" s="89">
        <f>IF(F$67=0,IF($AS17&lt;F$4,F$55*(1+Overview!$B$53)^-($AS17),0),IF($AS17&lt;F$4,F$67*(1+Overview!$B$53)^-($AS17),0))</f>
        <v>159993.84079083876</v>
      </c>
      <c r="AY17" s="89">
        <f>IF(G$67=0,IF($AS17&lt;G$4,G$55*(1+Overview!$B$53)^-($AS17),0),IF($AS17&lt;G$4,G$67*(1+Overview!$B$53)^-($AS17),0))</f>
        <v>159993.84079083876</v>
      </c>
      <c r="AZ17" s="89">
        <f>IF(E$68=0,IF($AS17&lt;E$4,E$56*(1+Overview!$B$53)^-($AS17),0),IF($AS17&lt;E$4,E$68*(1+Overview!$B$53)^-($AS17),0))</f>
        <v>0</v>
      </c>
      <c r="BA17" s="89">
        <f>IF(F$68=0,IF($AS17&lt;F$4,F$56*(1+Overview!$B$53)^-($AS17),0),IF($AS17&lt;F$4,F$68*(1+Overview!$B$53)^-($AS17),0))</f>
        <v>0</v>
      </c>
      <c r="BB17" s="89">
        <f>IF(G$68=0,IF($AS17&lt;G$4,G$56*(1+Overview!$B$53)^-($AS17),0),IF($AS17&lt;G$4,G$68*(1+Overview!$B$53)^-($AS17),0))</f>
        <v>0</v>
      </c>
      <c r="BC17" s="89">
        <f>IF(E$69=0,IF($AS17&lt;E$4,E$57*(1+Overview!$B$53)^-($AS17),0),IF($AS17&lt;E$4,E$69*(1+Overview!$B$53)^-($AS17),0))</f>
        <v>0</v>
      </c>
      <c r="BD17" s="89">
        <f>IF(F$69=0,IF($AS17&lt;F$4,F$57*(1+Overview!$B$53)^-($AS17),0),IF($AS17&lt;F$4,F$69*(1+Overview!$B$53)^-($AS17),0))</f>
        <v>0</v>
      </c>
      <c r="BE17" s="95">
        <f>IF(G$69=0,IF($AS17&lt;G$4,G$57*(1+Overview!$B$53)^-($AS17),0),IF($AS17&lt;G$4,G$69*(1+Overview!$B$53)^-($AS17),0))</f>
        <v>0</v>
      </c>
      <c r="BF17" s="1"/>
    </row>
    <row r="18" spans="1:58" ht="15" thickBot="1" x14ac:dyDescent="0.35">
      <c r="A18" s="33"/>
      <c r="B18" s="68" t="s">
        <v>65</v>
      </c>
      <c r="C18" s="33" t="s">
        <v>66</v>
      </c>
      <c r="D18" s="33" t="s">
        <v>67</v>
      </c>
      <c r="E18" s="75">
        <v>6500</v>
      </c>
      <c r="F18" s="76">
        <v>6500</v>
      </c>
      <c r="G18" s="74">
        <v>6500</v>
      </c>
      <c r="H18" s="61" t="s">
        <v>23</v>
      </c>
      <c r="I18" s="70"/>
      <c r="J18" s="70"/>
      <c r="K18" s="139"/>
      <c r="L18" s="100" t="s">
        <v>48</v>
      </c>
      <c r="M18" s="71">
        <f t="shared" si="8"/>
        <v>100</v>
      </c>
      <c r="N18" s="72">
        <f t="shared" si="8"/>
        <v>89.315982044228008</v>
      </c>
      <c r="O18" s="215">
        <f t="shared" si="8"/>
        <v>99.994110746969795</v>
      </c>
      <c r="P18" s="144"/>
      <c r="R18" s="118">
        <f t="shared" si="4"/>
        <v>11</v>
      </c>
      <c r="S18" s="94">
        <f t="shared" si="0"/>
        <v>0</v>
      </c>
      <c r="T18" s="89">
        <f t="shared" si="0"/>
        <v>0</v>
      </c>
      <c r="U18" s="95">
        <f t="shared" si="0"/>
        <v>0</v>
      </c>
      <c r="V18" s="94">
        <f t="shared" si="1"/>
        <v>0</v>
      </c>
      <c r="W18" s="89">
        <f t="shared" si="1"/>
        <v>0</v>
      </c>
      <c r="X18" s="95">
        <f t="shared" si="1"/>
        <v>0</v>
      </c>
      <c r="Y18" s="89"/>
      <c r="Z18" s="118">
        <f t="shared" si="5"/>
        <v>12</v>
      </c>
      <c r="AA18" s="94">
        <f t="shared" si="2"/>
        <v>66178.329828912902</v>
      </c>
      <c r="AB18" s="89">
        <f t="shared" si="2"/>
        <v>33089.164914456451</v>
      </c>
      <c r="AC18" s="95">
        <f t="shared" si="2"/>
        <v>33089.164914456451</v>
      </c>
      <c r="AD18" s="94">
        <f t="shared" si="3"/>
        <v>206111.22807193399</v>
      </c>
      <c r="AE18" s="89">
        <f t="shared" si="3"/>
        <v>154583.42105395047</v>
      </c>
      <c r="AF18" s="95">
        <f t="shared" si="3"/>
        <v>154583.42105395047</v>
      </c>
      <c r="AG18" s="84"/>
      <c r="AH18" s="118">
        <f t="shared" si="6"/>
        <v>11</v>
      </c>
      <c r="AI18" s="94">
        <f>IF(E$5*$AH18&lt;E$5*E$14,(E$19*E$6*(1+Overview!$B$53)^-(E$5*$AH18)),0)</f>
        <v>0</v>
      </c>
      <c r="AJ18" s="89">
        <f>IF(F$5*$AH18&lt;F$5*F$14,(F$19*F$6*(1+Overview!$B$53)^-(F$5*$AH18)),0)</f>
        <v>0</v>
      </c>
      <c r="AK18" s="95">
        <f>IF(G$5*$AH18&lt;G$5*G$14,(G$19*G$6*(1+Overview!$B$53)^-(G$5*$AH18)),0)</f>
        <v>0</v>
      </c>
      <c r="AL18" s="94">
        <f>IF($AH18=0,0,IF(E$5*$AH18&lt;=E$5*E$14,(E$22*E$6*(1+Overview!$B$53)^-(E$5*$AH18)),0))</f>
        <v>0</v>
      </c>
      <c r="AM18" s="89">
        <f>IF($AH18=0,0,IF(F$5*$AH18&lt;=F$5*F$14,(F$22*F$6*(1+Overview!$B$53)^-(F$5*$AH18)),0))</f>
        <v>0</v>
      </c>
      <c r="AN18" s="95">
        <f>IF($AH18=0,0,IF(G$5*$AH18&lt;=G$5*G$14,(G$22*G$6*(1+Overview!$B$53)^-(G$5*$AH18)),0))</f>
        <v>0</v>
      </c>
      <c r="AO18" s="94">
        <f>IF(E$16&gt;0,IF($AH17*E$14=E$4,-(E$16/E$5)*E$19*E$6*(1+Overview!$B$53)^-E$4+(E$22*E$6*(1+Overview!$B$53)^-E$4),0),0)</f>
        <v>0</v>
      </c>
      <c r="AP18" s="89">
        <f>IF(F$16&gt;0,IF($AH17*F$14=F$4,-(F$16/F$5)*F$19*F$6*(1+Overview!$B$53)^-F$4+(F$22*F$6*(1+Overview!$B$53)^-F$4),0),0)</f>
        <v>0</v>
      </c>
      <c r="AQ18" s="95">
        <f>IF(G$16&gt;0,IF($AH17*G$14=G$4,-(G$16/G$5)*G$19*G$6*(1+Overview!$B$53)^-G$4+(G$22*G$6*(1+Overview!$B$53)^-G$4),0),0)</f>
        <v>0</v>
      </c>
      <c r="AR18" s="84"/>
      <c r="AS18" s="109">
        <f t="shared" si="7"/>
        <v>12</v>
      </c>
      <c r="AT18" s="94">
        <f>IF($AS18&lt;E$4,E$20*E$6*E$11*(1+Overview!$B$53)^-($AS18),0)</f>
        <v>66178.329828912902</v>
      </c>
      <c r="AU18" s="89">
        <f>IF($AS18&lt;F$4,F$20*F$6*F$11*(1+Overview!$B$53)^-($AS18),0)</f>
        <v>33089.164914456451</v>
      </c>
      <c r="AV18" s="89">
        <f>IF($AS18&lt;G$4,G$20*G$6*G$11*(1+Overview!$B$53)^-($AS18),0)</f>
        <v>33089.164914456451</v>
      </c>
      <c r="AW18" s="94">
        <f>IF(E$67=0,IF($AS18&lt;E$4,E$55*(1+Overview!$B$53)^-($AS18),0),IF($AS18&lt;E$4,E$67*(1+Overview!$B$53)^-($AS18),0))</f>
        <v>206111.22807193399</v>
      </c>
      <c r="AX18" s="89">
        <f>IF(F$67=0,IF($AS18&lt;F$4,F$55*(1+Overview!$B$53)^-($AS18),0),IF($AS18&lt;F$4,F$67*(1+Overview!$B$53)^-($AS18),0))</f>
        <v>154583.42105395047</v>
      </c>
      <c r="AY18" s="89">
        <f>IF(G$67=0,IF($AS18&lt;G$4,G$55*(1+Overview!$B$53)^-($AS18),0),IF($AS18&lt;G$4,G$67*(1+Overview!$B$53)^-($AS18),0))</f>
        <v>154583.42105395047</v>
      </c>
      <c r="AZ18" s="89">
        <f>IF(E$68=0,IF($AS18&lt;E$4,E$56*(1+Overview!$B$53)^-($AS18),0),IF($AS18&lt;E$4,E$68*(1+Overview!$B$53)^-($AS18),0))</f>
        <v>0</v>
      </c>
      <c r="BA18" s="89">
        <f>IF(F$68=0,IF($AS18&lt;F$4,F$56*(1+Overview!$B$53)^-($AS18),0),IF($AS18&lt;F$4,F$68*(1+Overview!$B$53)^-($AS18),0))</f>
        <v>0</v>
      </c>
      <c r="BB18" s="89">
        <f>IF(G$68=0,IF($AS18&lt;G$4,G$56*(1+Overview!$B$53)^-($AS18),0),IF($AS18&lt;G$4,G$68*(1+Overview!$B$53)^-($AS18),0))</f>
        <v>0</v>
      </c>
      <c r="BC18" s="89">
        <f>IF(E$69=0,IF($AS18&lt;E$4,E$57*(1+Overview!$B$53)^-($AS18),0),IF($AS18&lt;E$4,E$69*(1+Overview!$B$53)^-($AS18),0))</f>
        <v>0</v>
      </c>
      <c r="BD18" s="89">
        <f>IF(F$69=0,IF($AS18&lt;F$4,F$57*(1+Overview!$B$53)^-($AS18),0),IF($AS18&lt;F$4,F$69*(1+Overview!$B$53)^-($AS18),0))</f>
        <v>0</v>
      </c>
      <c r="BE18" s="95">
        <f>IF(G$69=0,IF($AS18&lt;G$4,G$57*(1+Overview!$B$53)^-($AS18),0),IF($AS18&lt;G$4,G$69*(1+Overview!$B$53)^-($AS18),0))</f>
        <v>0</v>
      </c>
      <c r="BF18" s="1"/>
    </row>
    <row r="19" spans="1:58" x14ac:dyDescent="0.3">
      <c r="A19" s="68"/>
      <c r="B19" s="33"/>
      <c r="C19" s="33" t="s">
        <v>68</v>
      </c>
      <c r="D19" s="33" t="s">
        <v>67</v>
      </c>
      <c r="E19" s="114">
        <v>5000</v>
      </c>
      <c r="F19" s="115">
        <v>5100</v>
      </c>
      <c r="G19" s="116">
        <v>5966</v>
      </c>
      <c r="H19" s="126" t="s">
        <v>33</v>
      </c>
      <c r="I19" s="123" t="s">
        <v>69</v>
      </c>
      <c r="J19" s="123"/>
      <c r="K19" s="140"/>
      <c r="L19" s="33"/>
      <c r="M19" s="33"/>
      <c r="N19" s="33"/>
      <c r="O19" s="33"/>
      <c r="P19" s="144"/>
      <c r="R19" s="118">
        <f t="shared" si="4"/>
        <v>12</v>
      </c>
      <c r="S19" s="94">
        <f t="shared" si="0"/>
        <v>0</v>
      </c>
      <c r="T19" s="89">
        <f t="shared" si="0"/>
        <v>0</v>
      </c>
      <c r="U19" s="95">
        <f t="shared" si="0"/>
        <v>0</v>
      </c>
      <c r="V19" s="94">
        <f t="shared" si="1"/>
        <v>0</v>
      </c>
      <c r="W19" s="89">
        <f t="shared" si="1"/>
        <v>0</v>
      </c>
      <c r="X19" s="95">
        <f t="shared" si="1"/>
        <v>0</v>
      </c>
      <c r="Y19" s="89"/>
      <c r="Z19" s="118">
        <f t="shared" si="5"/>
        <v>13</v>
      </c>
      <c r="AA19" s="94">
        <f t="shared" si="2"/>
        <v>63940.41529363567</v>
      </c>
      <c r="AB19" s="89">
        <f t="shared" si="2"/>
        <v>31970.207646817835</v>
      </c>
      <c r="AC19" s="95">
        <f t="shared" si="2"/>
        <v>31970.207646817835</v>
      </c>
      <c r="AD19" s="94">
        <f t="shared" si="3"/>
        <v>199141.28316128891</v>
      </c>
      <c r="AE19" s="89">
        <f t="shared" si="3"/>
        <v>149355.96237096668</v>
      </c>
      <c r="AF19" s="95">
        <f t="shared" si="3"/>
        <v>149355.96237096668</v>
      </c>
      <c r="AG19" s="84"/>
      <c r="AH19" s="118">
        <f t="shared" si="6"/>
        <v>12</v>
      </c>
      <c r="AI19" s="94">
        <f>IF(E$5*$AH19&lt;E$5*E$14,(E$19*E$6*(1+Overview!$B$53)^-(E$5*$AH19)),0)</f>
        <v>0</v>
      </c>
      <c r="AJ19" s="89">
        <f>IF(F$5*$AH19&lt;F$5*F$14,(F$19*F$6*(1+Overview!$B$53)^-(F$5*$AH19)),0)</f>
        <v>0</v>
      </c>
      <c r="AK19" s="95">
        <f>IF(G$5*$AH19&lt;G$5*G$14,(G$19*G$6*(1+Overview!$B$53)^-(G$5*$AH19)),0)</f>
        <v>0</v>
      </c>
      <c r="AL19" s="94">
        <f>IF($AH19=0,0,IF(E$5*$AH19&lt;=E$5*E$14,(E$22*E$6*(1+Overview!$B$53)^-(E$5*$AH19)),0))</f>
        <v>0</v>
      </c>
      <c r="AM19" s="89">
        <f>IF($AH19=0,0,IF(F$5*$AH19&lt;=F$5*F$14,(F$22*F$6*(1+Overview!$B$53)^-(F$5*$AH19)),0))</f>
        <v>0</v>
      </c>
      <c r="AN19" s="95">
        <f>IF($AH19=0,0,IF(G$5*$AH19&lt;=G$5*G$14,(G$22*G$6*(1+Overview!$B$53)^-(G$5*$AH19)),0))</f>
        <v>0</v>
      </c>
      <c r="AO19" s="94">
        <f>IF(E$16&gt;0,IF($AH18*E$14=E$4,-(E$16/E$5)*E$19*E$6*(1+Overview!$B$53)^-E$4+(E$22*E$6*(1+Overview!$B$53)^-E$4),0),0)</f>
        <v>0</v>
      </c>
      <c r="AP19" s="89">
        <f>IF(F$16&gt;0,IF($AH18*F$14=F$4,-(F$16/F$5)*F$19*F$6*(1+Overview!$B$53)^-F$4+(F$22*F$6*(1+Overview!$B$53)^-F$4),0),0)</f>
        <v>0</v>
      </c>
      <c r="AQ19" s="95">
        <f>IF(G$16&gt;0,IF($AH18*G$14=G$4,-(G$16/G$5)*G$19*G$6*(1+Overview!$B$53)^-G$4+(G$22*G$6*(1+Overview!$B$53)^-G$4),0),0)</f>
        <v>0</v>
      </c>
      <c r="AR19" s="84"/>
      <c r="AS19" s="109">
        <f t="shared" si="7"/>
        <v>13</v>
      </c>
      <c r="AT19" s="94">
        <f>IF($AS19&lt;E$4,E$20*E$6*E$11*(1+Overview!$B$53)^-($AS19),0)</f>
        <v>63940.41529363567</v>
      </c>
      <c r="AU19" s="89">
        <f>IF($AS19&lt;F$4,F$20*F$6*F$11*(1+Overview!$B$53)^-($AS19),0)</f>
        <v>31970.207646817835</v>
      </c>
      <c r="AV19" s="89">
        <f>IF($AS19&lt;G$4,G$20*G$6*G$11*(1+Overview!$B$53)^-($AS19),0)</f>
        <v>31970.207646817835</v>
      </c>
      <c r="AW19" s="94">
        <f>IF(E$67=0,IF($AS19&lt;E$4,E$55*(1+Overview!$B$53)^-($AS19),0),IF($AS19&lt;E$4,E$67*(1+Overview!$B$53)^-($AS19),0))</f>
        <v>199141.28316128891</v>
      </c>
      <c r="AX19" s="89">
        <f>IF(F$67=0,IF($AS19&lt;F$4,F$55*(1+Overview!$B$53)^-($AS19),0),IF($AS19&lt;F$4,F$67*(1+Overview!$B$53)^-($AS19),0))</f>
        <v>149355.96237096668</v>
      </c>
      <c r="AY19" s="89">
        <f>IF(G$67=0,IF($AS19&lt;G$4,G$55*(1+Overview!$B$53)^-($AS19),0),IF($AS19&lt;G$4,G$67*(1+Overview!$B$53)^-($AS19),0))</f>
        <v>149355.96237096668</v>
      </c>
      <c r="AZ19" s="89">
        <f>IF(E$68=0,IF($AS19&lt;E$4,E$56*(1+Overview!$B$53)^-($AS19),0),IF($AS19&lt;E$4,E$68*(1+Overview!$B$53)^-($AS19),0))</f>
        <v>0</v>
      </c>
      <c r="BA19" s="89">
        <f>IF(F$68=0,IF($AS19&lt;F$4,F$56*(1+Overview!$B$53)^-($AS19),0),IF($AS19&lt;F$4,F$68*(1+Overview!$B$53)^-($AS19),0))</f>
        <v>0</v>
      </c>
      <c r="BB19" s="89">
        <f>IF(G$68=0,IF($AS19&lt;G$4,G$56*(1+Overview!$B$53)^-($AS19),0),IF($AS19&lt;G$4,G$68*(1+Overview!$B$53)^-($AS19),0))</f>
        <v>0</v>
      </c>
      <c r="BC19" s="89">
        <f>IF(E$69=0,IF($AS19&lt;E$4,E$57*(1+Overview!$B$53)^-($AS19),0),IF($AS19&lt;E$4,E$69*(1+Overview!$B$53)^-($AS19),0))</f>
        <v>0</v>
      </c>
      <c r="BD19" s="89">
        <f>IF(F$69=0,IF($AS19&lt;F$4,F$57*(1+Overview!$B$53)^-($AS19),0),IF($AS19&lt;F$4,F$69*(1+Overview!$B$53)^-($AS19),0))</f>
        <v>0</v>
      </c>
      <c r="BE19" s="95">
        <f>IF(G$69=0,IF($AS19&lt;G$4,G$57*(1+Overview!$B$53)^-($AS19),0),IF($AS19&lt;G$4,G$69*(1+Overview!$B$53)^-($AS19),0))</f>
        <v>0</v>
      </c>
      <c r="BF19" s="1"/>
    </row>
    <row r="20" spans="1:58" x14ac:dyDescent="0.3">
      <c r="A20" s="33"/>
      <c r="B20" s="68"/>
      <c r="C20" s="33" t="s">
        <v>47</v>
      </c>
      <c r="D20" s="33" t="s">
        <v>70</v>
      </c>
      <c r="E20" s="173">
        <v>50</v>
      </c>
      <c r="F20" s="174">
        <v>50</v>
      </c>
      <c r="G20" s="175">
        <v>50</v>
      </c>
      <c r="H20" s="176" t="s">
        <v>71</v>
      </c>
      <c r="I20" s="123"/>
      <c r="J20" s="123"/>
      <c r="K20" s="140"/>
      <c r="L20" s="33"/>
      <c r="M20" s="33"/>
      <c r="N20" s="33"/>
      <c r="O20" s="33"/>
      <c r="P20" s="144"/>
      <c r="R20" s="118">
        <f t="shared" si="4"/>
        <v>13</v>
      </c>
      <c r="S20" s="94">
        <f t="shared" si="0"/>
        <v>0</v>
      </c>
      <c r="T20" s="89">
        <f t="shared" si="0"/>
        <v>0</v>
      </c>
      <c r="U20" s="95">
        <f t="shared" si="0"/>
        <v>0</v>
      </c>
      <c r="V20" s="94">
        <f t="shared" si="1"/>
        <v>0</v>
      </c>
      <c r="W20" s="89">
        <f t="shared" si="1"/>
        <v>0</v>
      </c>
      <c r="X20" s="95">
        <f t="shared" si="1"/>
        <v>0</v>
      </c>
      <c r="Y20" s="89"/>
      <c r="Z20" s="118">
        <f t="shared" si="5"/>
        <v>14</v>
      </c>
      <c r="AA20" s="94">
        <f t="shared" si="2"/>
        <v>61778.179027667298</v>
      </c>
      <c r="AB20" s="89">
        <f t="shared" si="2"/>
        <v>30889.089513833649</v>
      </c>
      <c r="AC20" s="95">
        <f t="shared" si="2"/>
        <v>30889.089513833649</v>
      </c>
      <c r="AD20" s="94">
        <f t="shared" si="3"/>
        <v>192407.03687081052</v>
      </c>
      <c r="AE20" s="89">
        <f t="shared" si="3"/>
        <v>144305.27765310789</v>
      </c>
      <c r="AF20" s="95">
        <f t="shared" si="3"/>
        <v>144305.27765310789</v>
      </c>
      <c r="AG20" s="84"/>
      <c r="AH20" s="118">
        <f t="shared" si="6"/>
        <v>13</v>
      </c>
      <c r="AI20" s="94">
        <f>IF(E$5*$AH20&lt;E$5*E$14,(E$19*E$6*(1+Overview!$B$53)^-(E$5*$AH20)),0)</f>
        <v>0</v>
      </c>
      <c r="AJ20" s="89">
        <f>IF(F$5*$AH20&lt;F$5*F$14,(F$19*F$6*(1+Overview!$B$53)^-(F$5*$AH20)),0)</f>
        <v>0</v>
      </c>
      <c r="AK20" s="95">
        <f>IF(G$5*$AH20&lt;G$5*G$14,(G$19*G$6*(1+Overview!$B$53)^-(G$5*$AH20)),0)</f>
        <v>0</v>
      </c>
      <c r="AL20" s="94">
        <f>IF($AH20=0,0,IF(E$5*$AH20&lt;=E$5*E$14,(E$22*E$6*(1+Overview!$B$53)^-(E$5*$AH20)),0))</f>
        <v>0</v>
      </c>
      <c r="AM20" s="89">
        <f>IF($AH20=0,0,IF(F$5*$AH20&lt;=F$5*F$14,(F$22*F$6*(1+Overview!$B$53)^-(F$5*$AH20)),0))</f>
        <v>0</v>
      </c>
      <c r="AN20" s="95">
        <f>IF($AH20=0,0,IF(G$5*$AH20&lt;=G$5*G$14,(G$22*G$6*(1+Overview!$B$53)^-(G$5*$AH20)),0))</f>
        <v>0</v>
      </c>
      <c r="AO20" s="94">
        <f>IF(E$16&gt;0,IF($AH19*E$14=E$4,-(E$16/E$5)*E$19*E$6*(1+Overview!$B$53)^-E$4+(E$22*E$6*(1+Overview!$B$53)^-E$4),0),0)</f>
        <v>0</v>
      </c>
      <c r="AP20" s="89">
        <f>IF(F$16&gt;0,IF($AH19*F$14=F$4,-(F$16/F$5)*F$19*F$6*(1+Overview!$B$53)^-F$4+(F$22*F$6*(1+Overview!$B$53)^-F$4),0),0)</f>
        <v>0</v>
      </c>
      <c r="AQ20" s="95">
        <f>IF(G$16&gt;0,IF($AH19*G$14=G$4,-(G$16/G$5)*G$19*G$6*(1+Overview!$B$53)^-G$4+(G$22*G$6*(1+Overview!$B$53)^-G$4),0),0)</f>
        <v>0</v>
      </c>
      <c r="AR20" s="84"/>
      <c r="AS20" s="109">
        <f t="shared" si="7"/>
        <v>14</v>
      </c>
      <c r="AT20" s="94">
        <f>IF($AS20&lt;E$4,E$20*E$6*E$11*(1+Overview!$B$53)^-($AS20),0)</f>
        <v>61778.179027667298</v>
      </c>
      <c r="AU20" s="89">
        <f>IF($AS20&lt;F$4,F$20*F$6*F$11*(1+Overview!$B$53)^-($AS20),0)</f>
        <v>30889.089513833649</v>
      </c>
      <c r="AV20" s="89">
        <f>IF($AS20&lt;G$4,G$20*G$6*G$11*(1+Overview!$B$53)^-($AS20),0)</f>
        <v>30889.089513833649</v>
      </c>
      <c r="AW20" s="94">
        <f>IF(E$67=0,IF($AS20&lt;E$4,E$55*(1+Overview!$B$53)^-($AS20),0),IF($AS20&lt;E$4,E$67*(1+Overview!$B$53)^-($AS20),0))</f>
        <v>192407.03687081052</v>
      </c>
      <c r="AX20" s="89">
        <f>IF(F$67=0,IF($AS20&lt;F$4,F$55*(1+Overview!$B$53)^-($AS20),0),IF($AS20&lt;F$4,F$67*(1+Overview!$B$53)^-($AS20),0))</f>
        <v>144305.27765310789</v>
      </c>
      <c r="AY20" s="89">
        <f>IF(G$67=0,IF($AS20&lt;G$4,G$55*(1+Overview!$B$53)^-($AS20),0),IF($AS20&lt;G$4,G$67*(1+Overview!$B$53)^-($AS20),0))</f>
        <v>144305.27765310789</v>
      </c>
      <c r="AZ20" s="89">
        <f>IF(E$68=0,IF($AS20&lt;E$4,E$56*(1+Overview!$B$53)^-($AS20),0),IF($AS20&lt;E$4,E$68*(1+Overview!$B$53)^-($AS20),0))</f>
        <v>0</v>
      </c>
      <c r="BA20" s="89">
        <f>IF(F$68=0,IF($AS20&lt;F$4,F$56*(1+Overview!$B$53)^-($AS20),0),IF($AS20&lt;F$4,F$68*(1+Overview!$B$53)^-($AS20),0))</f>
        <v>0</v>
      </c>
      <c r="BB20" s="89">
        <f>IF(G$68=0,IF($AS20&lt;G$4,G$56*(1+Overview!$B$53)^-($AS20),0),IF($AS20&lt;G$4,G$68*(1+Overview!$B$53)^-($AS20),0))</f>
        <v>0</v>
      </c>
      <c r="BC20" s="89">
        <f>IF(E$69=0,IF($AS20&lt;E$4,E$57*(1+Overview!$B$53)^-($AS20),0),IF($AS20&lt;E$4,E$69*(1+Overview!$B$53)^-($AS20),0))</f>
        <v>0</v>
      </c>
      <c r="BD20" s="89">
        <f>IF(F$69=0,IF($AS20&lt;F$4,F$57*(1+Overview!$B$53)^-($AS20),0),IF($AS20&lt;F$4,F$69*(1+Overview!$B$53)^-($AS20),0))</f>
        <v>0</v>
      </c>
      <c r="BE20" s="95">
        <f>IF(G$69=0,IF($AS20&lt;G$4,G$57*(1+Overview!$B$53)^-($AS20),0),IF($AS20&lt;G$4,G$69*(1+Overview!$B$53)^-($AS20),0))</f>
        <v>0</v>
      </c>
      <c r="BF20" s="1"/>
    </row>
    <row r="21" spans="1:58" x14ac:dyDescent="0.3">
      <c r="A21" s="33"/>
      <c r="B21" s="33"/>
      <c r="C21" s="66"/>
      <c r="D21" s="33"/>
      <c r="E21" s="1"/>
      <c r="F21" s="32">
        <f>F19/E19</f>
        <v>1.02</v>
      </c>
      <c r="G21" s="32">
        <f>G19/E19</f>
        <v>1.1932</v>
      </c>
      <c r="H21" s="99"/>
      <c r="I21" s="70"/>
      <c r="J21" s="70"/>
      <c r="K21" s="139"/>
      <c r="L21" s="33"/>
      <c r="M21" s="33"/>
      <c r="N21" s="33"/>
      <c r="O21" s="33"/>
      <c r="P21" s="144"/>
      <c r="R21" s="118">
        <f t="shared" si="4"/>
        <v>14</v>
      </c>
      <c r="S21" s="94">
        <f t="shared" si="0"/>
        <v>0</v>
      </c>
      <c r="T21" s="89">
        <f t="shared" si="0"/>
        <v>0</v>
      </c>
      <c r="U21" s="95">
        <f t="shared" si="0"/>
        <v>0</v>
      </c>
      <c r="V21" s="94">
        <f t="shared" si="1"/>
        <v>0</v>
      </c>
      <c r="W21" s="89">
        <f t="shared" si="1"/>
        <v>0</v>
      </c>
      <c r="X21" s="95">
        <f t="shared" si="1"/>
        <v>0</v>
      </c>
      <c r="Y21" s="89"/>
      <c r="Z21" s="118">
        <f t="shared" si="5"/>
        <v>15</v>
      </c>
      <c r="AA21" s="94">
        <f t="shared" si="2"/>
        <v>59689.061862480499</v>
      </c>
      <c r="AB21" s="89">
        <f t="shared" si="2"/>
        <v>29844.53093124025</v>
      </c>
      <c r="AC21" s="95">
        <f t="shared" si="2"/>
        <v>29844.53093124025</v>
      </c>
      <c r="AD21" s="94">
        <f t="shared" si="3"/>
        <v>185900.51871575901</v>
      </c>
      <c r="AE21" s="89">
        <f t="shared" si="3"/>
        <v>139425.38903681925</v>
      </c>
      <c r="AF21" s="95">
        <f t="shared" si="3"/>
        <v>139425.38903681925</v>
      </c>
      <c r="AG21" s="84"/>
      <c r="AH21" s="118">
        <f t="shared" si="6"/>
        <v>14</v>
      </c>
      <c r="AI21" s="94">
        <f>IF(E$5*$AH21&lt;E$5*E$14,(E$19*E$6*(1+Overview!$B$53)^-(E$5*$AH21)),0)</f>
        <v>0</v>
      </c>
      <c r="AJ21" s="89">
        <f>IF(F$5*$AH21&lt;F$5*F$14,(F$19*F$6*(1+Overview!$B$53)^-(F$5*$AH21)),0)</f>
        <v>0</v>
      </c>
      <c r="AK21" s="95">
        <f>IF(G$5*$AH21&lt;G$5*G$14,(G$19*G$6*(1+Overview!$B$53)^-(G$5*$AH21)),0)</f>
        <v>0</v>
      </c>
      <c r="AL21" s="94">
        <f>IF($AH21=0,0,IF(E$5*$AH21&lt;=E$5*E$14,(E$22*E$6*(1+Overview!$B$53)^-(E$5*$AH21)),0))</f>
        <v>0</v>
      </c>
      <c r="AM21" s="89">
        <f>IF($AH21=0,0,IF(F$5*$AH21&lt;=F$5*F$14,(F$22*F$6*(1+Overview!$B$53)^-(F$5*$AH21)),0))</f>
        <v>0</v>
      </c>
      <c r="AN21" s="95">
        <f>IF($AH21=0,0,IF(G$5*$AH21&lt;=G$5*G$14,(G$22*G$6*(1+Overview!$B$53)^-(G$5*$AH21)),0))</f>
        <v>0</v>
      </c>
      <c r="AO21" s="94">
        <f>IF(E$16&gt;0,IF($AH20*E$14=E$4,-(E$16/E$5)*E$19*E$6*(1+Overview!$B$53)^-E$4+(E$22*E$6*(1+Overview!$B$53)^-E$4),0),0)</f>
        <v>0</v>
      </c>
      <c r="AP21" s="89">
        <f>IF(F$16&gt;0,IF($AH20*F$14=F$4,-(F$16/F$5)*F$19*F$6*(1+Overview!$B$53)^-F$4+(F$22*F$6*(1+Overview!$B$53)^-F$4),0),0)</f>
        <v>0</v>
      </c>
      <c r="AQ21" s="95">
        <f>IF(G$16&gt;0,IF($AH20*G$14=G$4,-(G$16/G$5)*G$19*G$6*(1+Overview!$B$53)^-G$4+(G$22*G$6*(1+Overview!$B$53)^-G$4),0),0)</f>
        <v>0</v>
      </c>
      <c r="AR21" s="84"/>
      <c r="AS21" s="109">
        <f t="shared" si="7"/>
        <v>15</v>
      </c>
      <c r="AT21" s="94">
        <f>IF($AS21&lt;E$4,E$20*E$6*E$11*(1+Overview!$B$53)^-($AS21),0)</f>
        <v>59689.061862480499</v>
      </c>
      <c r="AU21" s="89">
        <f>IF($AS21&lt;F$4,F$20*F$6*F$11*(1+Overview!$B$53)^-($AS21),0)</f>
        <v>29844.53093124025</v>
      </c>
      <c r="AV21" s="89">
        <f>IF($AS21&lt;G$4,G$20*G$6*G$11*(1+Overview!$B$53)^-($AS21),0)</f>
        <v>29844.53093124025</v>
      </c>
      <c r="AW21" s="94">
        <f>IF(E$67=0,IF($AS21&lt;E$4,E$55*(1+Overview!$B$53)^-($AS21),0),IF($AS21&lt;E$4,E$67*(1+Overview!$B$53)^-($AS21),0))</f>
        <v>185900.51871575901</v>
      </c>
      <c r="AX21" s="89">
        <f>IF(F$67=0,IF($AS21&lt;F$4,F$55*(1+Overview!$B$53)^-($AS21),0),IF($AS21&lt;F$4,F$67*(1+Overview!$B$53)^-($AS21),0))</f>
        <v>139425.38903681925</v>
      </c>
      <c r="AY21" s="89">
        <f>IF(G$67=0,IF($AS21&lt;G$4,G$55*(1+Overview!$B$53)^-($AS21),0),IF($AS21&lt;G$4,G$67*(1+Overview!$B$53)^-($AS21),0))</f>
        <v>139425.38903681925</v>
      </c>
      <c r="AZ21" s="89">
        <f>IF(E$68=0,IF($AS21&lt;E$4,E$56*(1+Overview!$B$53)^-($AS21),0),IF($AS21&lt;E$4,E$68*(1+Overview!$B$53)^-($AS21),0))</f>
        <v>0</v>
      </c>
      <c r="BA21" s="89">
        <f>IF(F$68=0,IF($AS21&lt;F$4,F$56*(1+Overview!$B$53)^-($AS21),0),IF($AS21&lt;F$4,F$68*(1+Overview!$B$53)^-($AS21),0))</f>
        <v>0</v>
      </c>
      <c r="BB21" s="89">
        <f>IF(G$68=0,IF($AS21&lt;G$4,G$56*(1+Overview!$B$53)^-($AS21),0),IF($AS21&lt;G$4,G$68*(1+Overview!$B$53)^-($AS21),0))</f>
        <v>0</v>
      </c>
      <c r="BC21" s="89">
        <f>IF(E$69=0,IF($AS21&lt;E$4,E$57*(1+Overview!$B$53)^-($AS21),0),IF($AS21&lt;E$4,E$69*(1+Overview!$B$53)^-($AS21),0))</f>
        <v>0</v>
      </c>
      <c r="BD21" s="89">
        <f>IF(F$69=0,IF($AS21&lt;F$4,F$57*(1+Overview!$B$53)^-($AS21),0),IF($AS21&lt;F$4,F$69*(1+Overview!$B$53)^-($AS21),0))</f>
        <v>0</v>
      </c>
      <c r="BE21" s="95">
        <f>IF(G$69=0,IF($AS21&lt;G$4,G$57*(1+Overview!$B$53)^-($AS21),0),IF($AS21&lt;G$4,G$69*(1+Overview!$B$53)^-($AS21),0))</f>
        <v>0</v>
      </c>
      <c r="BF21" s="1"/>
    </row>
    <row r="22" spans="1:58" x14ac:dyDescent="0.3">
      <c r="A22" s="33"/>
      <c r="B22" s="68" t="s">
        <v>72</v>
      </c>
      <c r="C22" s="33" t="s">
        <v>73</v>
      </c>
      <c r="D22" s="33" t="s">
        <v>70</v>
      </c>
      <c r="E22" s="177">
        <v>0</v>
      </c>
      <c r="F22" s="178">
        <v>0</v>
      </c>
      <c r="G22" s="179">
        <v>0</v>
      </c>
      <c r="H22" s="180" t="s">
        <v>33</v>
      </c>
      <c r="I22" s="123"/>
      <c r="J22" s="123"/>
      <c r="K22" s="140"/>
      <c r="L22" s="33"/>
      <c r="M22" s="33"/>
      <c r="N22" s="33"/>
      <c r="O22" s="33"/>
      <c r="P22" s="144"/>
      <c r="R22" s="118">
        <f t="shared" si="4"/>
        <v>15</v>
      </c>
      <c r="S22" s="94">
        <f t="shared" si="0"/>
        <v>0</v>
      </c>
      <c r="T22" s="89">
        <f t="shared" si="0"/>
        <v>0</v>
      </c>
      <c r="U22" s="95">
        <f t="shared" si="0"/>
        <v>0</v>
      </c>
      <c r="V22" s="94">
        <f t="shared" si="1"/>
        <v>0</v>
      </c>
      <c r="W22" s="89">
        <f t="shared" si="1"/>
        <v>0</v>
      </c>
      <c r="X22" s="95">
        <f t="shared" si="1"/>
        <v>0</v>
      </c>
      <c r="Y22" s="89"/>
      <c r="Z22" s="118">
        <f t="shared" si="5"/>
        <v>16</v>
      </c>
      <c r="AA22" s="94">
        <f t="shared" si="2"/>
        <v>57670.591171478743</v>
      </c>
      <c r="AB22" s="89">
        <f t="shared" si="2"/>
        <v>28835.295585739372</v>
      </c>
      <c r="AC22" s="95">
        <f t="shared" si="2"/>
        <v>28835.295585739372</v>
      </c>
      <c r="AD22" s="94">
        <f t="shared" si="3"/>
        <v>179614.0277446947</v>
      </c>
      <c r="AE22" s="89">
        <f t="shared" si="3"/>
        <v>134710.52080852102</v>
      </c>
      <c r="AF22" s="95">
        <f t="shared" si="3"/>
        <v>134710.52080852102</v>
      </c>
      <c r="AG22" s="84"/>
      <c r="AH22" s="118">
        <f t="shared" si="6"/>
        <v>15</v>
      </c>
      <c r="AI22" s="94">
        <f>IF(E$5*$AH22&lt;E$5*E$14,(E$19*E$6*(1+Overview!$B$53)^-(E$5*$AH22)),0)</f>
        <v>0</v>
      </c>
      <c r="AJ22" s="89">
        <f>IF(F$5*$AH22&lt;F$5*F$14,(F$19*F$6*(1+Overview!$B$53)^-(F$5*$AH22)),0)</f>
        <v>0</v>
      </c>
      <c r="AK22" s="95">
        <f>IF(G$5*$AH22&lt;G$5*G$14,(G$19*G$6*(1+Overview!$B$53)^-(G$5*$AH22)),0)</f>
        <v>0</v>
      </c>
      <c r="AL22" s="94">
        <f>IF($AH22=0,0,IF(E$5*$AH22&lt;=E$5*E$14,(E$22*E$6*(1+Overview!$B$53)^-(E$5*$AH22)),0))</f>
        <v>0</v>
      </c>
      <c r="AM22" s="89">
        <f>IF($AH22=0,0,IF(F$5*$AH22&lt;=F$5*F$14,(F$22*F$6*(1+Overview!$B$53)^-(F$5*$AH22)),0))</f>
        <v>0</v>
      </c>
      <c r="AN22" s="95">
        <f>IF($AH22=0,0,IF(G$5*$AH22&lt;=G$5*G$14,(G$22*G$6*(1+Overview!$B$53)^-(G$5*$AH22)),0))</f>
        <v>0</v>
      </c>
      <c r="AO22" s="94">
        <f>IF(E$16&gt;0,IF($AH21*E$14=E$4,-(E$16/E$5)*E$19*E$6*(1+Overview!$B$53)^-E$4+(E$22*E$6*(1+Overview!$B$53)^-E$4),0),0)</f>
        <v>0</v>
      </c>
      <c r="AP22" s="89">
        <f>IF(F$16&gt;0,IF($AH21*F$14=F$4,-(F$16/F$5)*F$19*F$6*(1+Overview!$B$53)^-F$4+(F$22*F$6*(1+Overview!$B$53)^-F$4),0),0)</f>
        <v>0</v>
      </c>
      <c r="AQ22" s="95">
        <f>IF(G$16&gt;0,IF($AH21*G$14=G$4,-(G$16/G$5)*G$19*G$6*(1+Overview!$B$53)^-G$4+(G$22*G$6*(1+Overview!$B$53)^-G$4),0),0)</f>
        <v>0</v>
      </c>
      <c r="AR22" s="84"/>
      <c r="AS22" s="109">
        <f t="shared" si="7"/>
        <v>16</v>
      </c>
      <c r="AT22" s="94">
        <f>IF($AS22&lt;E$4,E$20*E$6*E$11*(1+Overview!$B$53)^-($AS22),0)</f>
        <v>57670.591171478743</v>
      </c>
      <c r="AU22" s="89">
        <f>IF($AS22&lt;F$4,F$20*F$6*F$11*(1+Overview!$B$53)^-($AS22),0)</f>
        <v>28835.295585739372</v>
      </c>
      <c r="AV22" s="89">
        <f>IF($AS22&lt;G$4,G$20*G$6*G$11*(1+Overview!$B$53)^-($AS22),0)</f>
        <v>28835.295585739372</v>
      </c>
      <c r="AW22" s="94">
        <f>IF(E$67=0,IF($AS22&lt;E$4,E$55*(1+Overview!$B$53)^-($AS22),0),IF($AS22&lt;E$4,E$67*(1+Overview!$B$53)^-($AS22),0))</f>
        <v>179614.0277446947</v>
      </c>
      <c r="AX22" s="89">
        <f>IF(F$67=0,IF($AS22&lt;F$4,F$55*(1+Overview!$B$53)^-($AS22),0),IF($AS22&lt;F$4,F$67*(1+Overview!$B$53)^-($AS22),0))</f>
        <v>134710.52080852102</v>
      </c>
      <c r="AY22" s="89">
        <f>IF(G$67=0,IF($AS22&lt;G$4,G$55*(1+Overview!$B$53)^-($AS22),0),IF($AS22&lt;G$4,G$67*(1+Overview!$B$53)^-($AS22),0))</f>
        <v>134710.52080852102</v>
      </c>
      <c r="AZ22" s="89">
        <f>IF(E$68=0,IF($AS22&lt;E$4,E$56*(1+Overview!$B$53)^-($AS22),0),IF($AS22&lt;E$4,E$68*(1+Overview!$B$53)^-($AS22),0))</f>
        <v>0</v>
      </c>
      <c r="BA22" s="89">
        <f>IF(F$68=0,IF($AS22&lt;F$4,F$56*(1+Overview!$B$53)^-($AS22),0),IF($AS22&lt;F$4,F$68*(1+Overview!$B$53)^-($AS22),0))</f>
        <v>0</v>
      </c>
      <c r="BB22" s="89">
        <f>IF(G$68=0,IF($AS22&lt;G$4,G$56*(1+Overview!$B$53)^-($AS22),0),IF($AS22&lt;G$4,G$68*(1+Overview!$B$53)^-($AS22),0))</f>
        <v>0</v>
      </c>
      <c r="BC22" s="89">
        <f>IF(E$69=0,IF($AS22&lt;E$4,E$57*(1+Overview!$B$53)^-($AS22),0),IF($AS22&lt;E$4,E$69*(1+Overview!$B$53)^-($AS22),0))</f>
        <v>0</v>
      </c>
      <c r="BD22" s="89">
        <f>IF(F$69=0,IF($AS22&lt;F$4,F$57*(1+Overview!$B$53)^-($AS22),0),IF($AS22&lt;F$4,F$69*(1+Overview!$B$53)^-($AS22),0))</f>
        <v>0</v>
      </c>
      <c r="BE22" s="95">
        <f>IF(G$69=0,IF($AS22&lt;G$4,G$57*(1+Overview!$B$53)^-($AS22),0),IF($AS22&lt;G$4,G$69*(1+Overview!$B$53)^-($AS22),0))</f>
        <v>0</v>
      </c>
      <c r="BF22" s="1"/>
    </row>
    <row r="23" spans="1:58" x14ac:dyDescent="0.3">
      <c r="A23" s="33"/>
      <c r="B23" s="33"/>
      <c r="C23" s="33"/>
      <c r="D23" s="33"/>
      <c r="H23" s="33"/>
      <c r="I23" s="70"/>
      <c r="J23" s="70"/>
      <c r="K23" s="139"/>
      <c r="L23" s="102"/>
      <c r="M23" s="33"/>
      <c r="N23" s="33"/>
      <c r="O23" s="33"/>
      <c r="P23" s="144"/>
      <c r="R23" s="118">
        <f t="shared" si="4"/>
        <v>16</v>
      </c>
      <c r="S23" s="94">
        <f t="shared" si="0"/>
        <v>0</v>
      </c>
      <c r="T23" s="89">
        <f t="shared" si="0"/>
        <v>0</v>
      </c>
      <c r="U23" s="95">
        <f t="shared" si="0"/>
        <v>0</v>
      </c>
      <c r="V23" s="94">
        <f t="shared" si="1"/>
        <v>0</v>
      </c>
      <c r="W23" s="89">
        <f t="shared" si="1"/>
        <v>0</v>
      </c>
      <c r="X23" s="95">
        <f t="shared" si="1"/>
        <v>0</v>
      </c>
      <c r="Y23" s="89"/>
      <c r="Z23" s="118">
        <f t="shared" si="5"/>
        <v>17</v>
      </c>
      <c r="AA23" s="94">
        <f t="shared" si="2"/>
        <v>55720.37794345773</v>
      </c>
      <c r="AB23" s="89">
        <f t="shared" si="2"/>
        <v>27860.188971728865</v>
      </c>
      <c r="AC23" s="95">
        <f t="shared" si="2"/>
        <v>27860.188971728865</v>
      </c>
      <c r="AD23" s="94">
        <f t="shared" si="3"/>
        <v>173540.12342482581</v>
      </c>
      <c r="AE23" s="89">
        <f t="shared" si="3"/>
        <v>130155.09256861935</v>
      </c>
      <c r="AF23" s="95">
        <f t="shared" si="3"/>
        <v>130155.09256861935</v>
      </c>
      <c r="AG23" s="84"/>
      <c r="AH23" s="118">
        <f t="shared" si="6"/>
        <v>16</v>
      </c>
      <c r="AI23" s="94">
        <f>IF(E$5*$AH23&lt;E$5*E$14,(E$19*E$6*(1+Overview!$B$53)^-(E$5*$AH23)),0)</f>
        <v>0</v>
      </c>
      <c r="AJ23" s="89">
        <f>IF(F$5*$AH23&lt;F$5*F$14,(F$19*F$6*(1+Overview!$B$53)^-(F$5*$AH23)),0)</f>
        <v>0</v>
      </c>
      <c r="AK23" s="95">
        <f>IF(G$5*$AH23&lt;G$5*G$14,(G$19*G$6*(1+Overview!$B$53)^-(G$5*$AH23)),0)</f>
        <v>0</v>
      </c>
      <c r="AL23" s="94">
        <f>IF($AH23=0,0,IF(E$5*$AH23&lt;=E$5*E$14,(E$22*E$6*(1+Overview!$B$53)^-(E$5*$AH23)),0))</f>
        <v>0</v>
      </c>
      <c r="AM23" s="89">
        <f>IF($AH23=0,0,IF(F$5*$AH23&lt;=F$5*F$14,(F$22*F$6*(1+Overview!$B$53)^-(F$5*$AH23)),0))</f>
        <v>0</v>
      </c>
      <c r="AN23" s="95">
        <f>IF($AH23=0,0,IF(G$5*$AH23&lt;=G$5*G$14,(G$22*G$6*(1+Overview!$B$53)^-(G$5*$AH23)),0))</f>
        <v>0</v>
      </c>
      <c r="AO23" s="94">
        <f>IF(E$16&gt;0,IF($AH22*E$14=E$4,-(E$16/E$5)*E$19*E$6*(1+Overview!$B$53)^-E$4+(E$22*E$6*(1+Overview!$B$53)^-E$4),0),0)</f>
        <v>0</v>
      </c>
      <c r="AP23" s="89">
        <f>IF(F$16&gt;0,IF($AH22*F$14=F$4,-(F$16/F$5)*F$19*F$6*(1+Overview!$B$53)^-F$4+(F$22*F$6*(1+Overview!$B$53)^-F$4),0),0)</f>
        <v>0</v>
      </c>
      <c r="AQ23" s="95">
        <f>IF(G$16&gt;0,IF($AH22*G$14=G$4,-(G$16/G$5)*G$19*G$6*(1+Overview!$B$53)^-G$4+(G$22*G$6*(1+Overview!$B$53)^-G$4),0),0)</f>
        <v>0</v>
      </c>
      <c r="AR23" s="84"/>
      <c r="AS23" s="109">
        <f t="shared" si="7"/>
        <v>17</v>
      </c>
      <c r="AT23" s="94">
        <f>IF($AS23&lt;E$4,E$20*E$6*E$11*(1+Overview!$B$53)^-($AS23),0)</f>
        <v>55720.37794345773</v>
      </c>
      <c r="AU23" s="89">
        <f>IF($AS23&lt;F$4,F$20*F$6*F$11*(1+Overview!$B$53)^-($AS23),0)</f>
        <v>27860.188971728865</v>
      </c>
      <c r="AV23" s="89">
        <f>IF($AS23&lt;G$4,G$20*G$6*G$11*(1+Overview!$B$53)^-($AS23),0)</f>
        <v>27860.188971728865</v>
      </c>
      <c r="AW23" s="94">
        <f>IF(E$67=0,IF($AS23&lt;E$4,E$55*(1+Overview!$B$53)^-($AS23),0),IF($AS23&lt;E$4,E$67*(1+Overview!$B$53)^-($AS23),0))</f>
        <v>173540.12342482581</v>
      </c>
      <c r="AX23" s="89">
        <f>IF(F$67=0,IF($AS23&lt;F$4,F$55*(1+Overview!$B$53)^-($AS23),0),IF($AS23&lt;F$4,F$67*(1+Overview!$B$53)^-($AS23),0))</f>
        <v>130155.09256861935</v>
      </c>
      <c r="AY23" s="89">
        <f>IF(G$67=0,IF($AS23&lt;G$4,G$55*(1+Overview!$B$53)^-($AS23),0),IF($AS23&lt;G$4,G$67*(1+Overview!$B$53)^-($AS23),0))</f>
        <v>130155.09256861935</v>
      </c>
      <c r="AZ23" s="89">
        <f>IF(E$68=0,IF($AS23&lt;E$4,E$56*(1+Overview!$B$53)^-($AS23),0),IF($AS23&lt;E$4,E$68*(1+Overview!$B$53)^-($AS23),0))</f>
        <v>0</v>
      </c>
      <c r="BA23" s="89">
        <f>IF(F$68=0,IF($AS23&lt;F$4,F$56*(1+Overview!$B$53)^-($AS23),0),IF($AS23&lt;F$4,F$68*(1+Overview!$B$53)^-($AS23),0))</f>
        <v>0</v>
      </c>
      <c r="BB23" s="89">
        <f>IF(G$68=0,IF($AS23&lt;G$4,G$56*(1+Overview!$B$53)^-($AS23),0),IF($AS23&lt;G$4,G$68*(1+Overview!$B$53)^-($AS23),0))</f>
        <v>0</v>
      </c>
      <c r="BC23" s="89">
        <f>IF(E$69=0,IF($AS23&lt;E$4,E$57*(1+Overview!$B$53)^-($AS23),0),IF($AS23&lt;E$4,E$69*(1+Overview!$B$53)^-($AS23),0))</f>
        <v>0</v>
      </c>
      <c r="BD23" s="89">
        <f>IF(F$69=0,IF($AS23&lt;F$4,F$57*(1+Overview!$B$53)^-($AS23),0),IF($AS23&lt;F$4,F$69*(1+Overview!$B$53)^-($AS23),0))</f>
        <v>0</v>
      </c>
      <c r="BE23" s="95">
        <f>IF(G$69=0,IF($AS23&lt;G$4,G$57*(1+Overview!$B$53)^-($AS23),0),IF($AS23&lt;G$4,G$69*(1+Overview!$B$53)^-($AS23),0))</f>
        <v>0</v>
      </c>
      <c r="BF23" s="1"/>
    </row>
    <row r="24" spans="1:58" x14ac:dyDescent="0.3">
      <c r="A24" s="134" t="s">
        <v>74</v>
      </c>
      <c r="B24" s="168" t="s">
        <v>41</v>
      </c>
      <c r="C24" s="185" t="s">
        <v>75</v>
      </c>
      <c r="D24" s="185" t="s">
        <v>76</v>
      </c>
      <c r="E24" s="181">
        <f>20/24</f>
        <v>0.83333333333333337</v>
      </c>
      <c r="F24" s="182">
        <f>20/24</f>
        <v>0.83333333333333337</v>
      </c>
      <c r="G24" s="183">
        <f>20/24</f>
        <v>0.83333333333333337</v>
      </c>
      <c r="H24" s="180" t="s">
        <v>51</v>
      </c>
      <c r="I24" s="184" t="s">
        <v>77</v>
      </c>
      <c r="J24" s="123"/>
      <c r="K24" s="140"/>
      <c r="L24" s="103"/>
      <c r="M24" s="33"/>
      <c r="N24" s="33"/>
      <c r="O24" s="33"/>
      <c r="P24" s="144"/>
      <c r="R24" s="118">
        <f t="shared" si="4"/>
        <v>17</v>
      </c>
      <c r="S24" s="94">
        <f t="shared" si="0"/>
        <v>0</v>
      </c>
      <c r="T24" s="89">
        <f t="shared" si="0"/>
        <v>0</v>
      </c>
      <c r="U24" s="95">
        <f t="shared" si="0"/>
        <v>0</v>
      </c>
      <c r="V24" s="94">
        <f t="shared" si="1"/>
        <v>0</v>
      </c>
      <c r="W24" s="89">
        <f t="shared" si="1"/>
        <v>0</v>
      </c>
      <c r="X24" s="95">
        <f t="shared" si="1"/>
        <v>0</v>
      </c>
      <c r="Y24" s="89"/>
      <c r="Z24" s="118">
        <f t="shared" si="5"/>
        <v>18</v>
      </c>
      <c r="AA24" s="94">
        <f t="shared" si="2"/>
        <v>53836.113955031629</v>
      </c>
      <c r="AB24" s="89">
        <f t="shared" si="2"/>
        <v>26918.056977515815</v>
      </c>
      <c r="AC24" s="95">
        <f t="shared" si="2"/>
        <v>26918.056977515815</v>
      </c>
      <c r="AD24" s="94">
        <f t="shared" si="3"/>
        <v>167671.6168355805</v>
      </c>
      <c r="AE24" s="89">
        <f t="shared" si="3"/>
        <v>125753.71262668537</v>
      </c>
      <c r="AF24" s="95">
        <f t="shared" si="3"/>
        <v>125753.71262668537</v>
      </c>
      <c r="AG24" s="84"/>
      <c r="AH24" s="118">
        <f t="shared" si="6"/>
        <v>17</v>
      </c>
      <c r="AI24" s="94">
        <f>IF(E$5*$AH24&lt;E$5*E$14,(E$19*E$6*(1+Overview!$B$53)^-(E$5*$AH24)),0)</f>
        <v>0</v>
      </c>
      <c r="AJ24" s="89">
        <f>IF(F$5*$AH24&lt;F$5*F$14,(F$19*F$6*(1+Overview!$B$53)^-(F$5*$AH24)),0)</f>
        <v>0</v>
      </c>
      <c r="AK24" s="95">
        <f>IF(G$5*$AH24&lt;G$5*G$14,(G$19*G$6*(1+Overview!$B$53)^-(G$5*$AH24)),0)</f>
        <v>0</v>
      </c>
      <c r="AL24" s="94">
        <f>IF($AH24=0,0,IF(E$5*$AH24&lt;=E$5*E$14,(E$22*E$6*(1+Overview!$B$53)^-(E$5*$AH24)),0))</f>
        <v>0</v>
      </c>
      <c r="AM24" s="89">
        <f>IF($AH24=0,0,IF(F$5*$AH24&lt;=F$5*F$14,(F$22*F$6*(1+Overview!$B$53)^-(F$5*$AH24)),0))</f>
        <v>0</v>
      </c>
      <c r="AN24" s="95">
        <f>IF($AH24=0,0,IF(G$5*$AH24&lt;=G$5*G$14,(G$22*G$6*(1+Overview!$B$53)^-(G$5*$AH24)),0))</f>
        <v>0</v>
      </c>
      <c r="AO24" s="94">
        <f>IF(E$16&gt;0,IF($AH23*E$14=E$4,-(E$16/E$5)*E$19*E$6*(1+Overview!$B$53)^-E$4+(E$22*E$6*(1+Overview!$B$53)^-E$4),0),0)</f>
        <v>0</v>
      </c>
      <c r="AP24" s="89">
        <f>IF(F$16&gt;0,IF($AH23*F$14=F$4,-(F$16/F$5)*F$19*F$6*(1+Overview!$B$53)^-F$4+(F$22*F$6*(1+Overview!$B$53)^-F$4),0),0)</f>
        <v>0</v>
      </c>
      <c r="AQ24" s="95">
        <f>IF(G$16&gt;0,IF($AH23*G$14=G$4,-(G$16/G$5)*G$19*G$6*(1+Overview!$B$53)^-G$4+(G$22*G$6*(1+Overview!$B$53)^-G$4),0),0)</f>
        <v>0</v>
      </c>
      <c r="AR24" s="84"/>
      <c r="AS24" s="109">
        <f t="shared" si="7"/>
        <v>18</v>
      </c>
      <c r="AT24" s="94">
        <f>IF($AS24&lt;E$4,E$20*E$6*E$11*(1+Overview!$B$53)^-($AS24),0)</f>
        <v>53836.113955031629</v>
      </c>
      <c r="AU24" s="89">
        <f>IF($AS24&lt;F$4,F$20*F$6*F$11*(1+Overview!$B$53)^-($AS24),0)</f>
        <v>26918.056977515815</v>
      </c>
      <c r="AV24" s="89">
        <f>IF($AS24&lt;G$4,G$20*G$6*G$11*(1+Overview!$B$53)^-($AS24),0)</f>
        <v>26918.056977515815</v>
      </c>
      <c r="AW24" s="94">
        <f>IF(E$67=0,IF($AS24&lt;E$4,E$55*(1+Overview!$B$53)^-($AS24),0),IF($AS24&lt;E$4,E$67*(1+Overview!$B$53)^-($AS24),0))</f>
        <v>167671.6168355805</v>
      </c>
      <c r="AX24" s="89">
        <f>IF(F$67=0,IF($AS24&lt;F$4,F$55*(1+Overview!$B$53)^-($AS24),0),IF($AS24&lt;F$4,F$67*(1+Overview!$B$53)^-($AS24),0))</f>
        <v>125753.71262668537</v>
      </c>
      <c r="AY24" s="89">
        <f>IF(G$67=0,IF($AS24&lt;G$4,G$55*(1+Overview!$B$53)^-($AS24),0),IF($AS24&lt;G$4,G$67*(1+Overview!$B$53)^-($AS24),0))</f>
        <v>125753.71262668537</v>
      </c>
      <c r="AZ24" s="89">
        <f>IF(E$68=0,IF($AS24&lt;E$4,E$56*(1+Overview!$B$53)^-($AS24),0),IF($AS24&lt;E$4,E$68*(1+Overview!$B$53)^-($AS24),0))</f>
        <v>0</v>
      </c>
      <c r="BA24" s="89">
        <f>IF(F$68=0,IF($AS24&lt;F$4,F$56*(1+Overview!$B$53)^-($AS24),0),IF($AS24&lt;F$4,F$68*(1+Overview!$B$53)^-($AS24),0))</f>
        <v>0</v>
      </c>
      <c r="BB24" s="89">
        <f>IF(G$68=0,IF($AS24&lt;G$4,G$56*(1+Overview!$B$53)^-($AS24),0),IF($AS24&lt;G$4,G$68*(1+Overview!$B$53)^-($AS24),0))</f>
        <v>0</v>
      </c>
      <c r="BC24" s="89">
        <f>IF(E$69=0,IF($AS24&lt;E$4,E$57*(1+Overview!$B$53)^-($AS24),0),IF($AS24&lt;E$4,E$69*(1+Overview!$B$53)^-($AS24),0))</f>
        <v>0</v>
      </c>
      <c r="BD24" s="89">
        <f>IF(F$69=0,IF($AS24&lt;F$4,F$57*(1+Overview!$B$53)^-($AS24),0),IF($AS24&lt;F$4,F$69*(1+Overview!$B$53)^-($AS24),0))</f>
        <v>0</v>
      </c>
      <c r="BE24" s="95">
        <f>IF(G$69=0,IF($AS24&lt;G$4,G$57*(1+Overview!$B$53)^-($AS24),0),IF($AS24&lt;G$4,G$69*(1+Overview!$B$53)^-($AS24),0))</f>
        <v>0</v>
      </c>
      <c r="BF24" s="1"/>
    </row>
    <row r="25" spans="1:58" x14ac:dyDescent="0.3">
      <c r="A25" s="168" t="s">
        <v>78</v>
      </c>
      <c r="B25" s="185"/>
      <c r="C25" s="185" t="s">
        <v>79</v>
      </c>
      <c r="D25" s="185" t="s">
        <v>76</v>
      </c>
      <c r="E25" s="75">
        <v>0</v>
      </c>
      <c r="F25" s="76">
        <v>0</v>
      </c>
      <c r="G25" s="74">
        <v>0</v>
      </c>
      <c r="H25" s="125" t="s">
        <v>33</v>
      </c>
      <c r="I25" s="70"/>
      <c r="J25" s="70"/>
      <c r="K25" s="139"/>
      <c r="L25" s="103"/>
      <c r="M25" s="33"/>
      <c r="N25" s="33"/>
      <c r="O25" s="33"/>
      <c r="P25" s="144"/>
      <c r="R25" s="118">
        <f t="shared" si="4"/>
        <v>18</v>
      </c>
      <c r="S25" s="94">
        <f t="shared" si="0"/>
        <v>0</v>
      </c>
      <c r="T25" s="89">
        <f t="shared" si="0"/>
        <v>0</v>
      </c>
      <c r="U25" s="95">
        <f t="shared" si="0"/>
        <v>0</v>
      </c>
      <c r="V25" s="94">
        <f t="shared" si="1"/>
        <v>0</v>
      </c>
      <c r="W25" s="89">
        <f t="shared" si="1"/>
        <v>0</v>
      </c>
      <c r="X25" s="95">
        <f t="shared" si="1"/>
        <v>0</v>
      </c>
      <c r="Y25" s="89"/>
      <c r="Z25" s="118">
        <f t="shared" si="5"/>
        <v>19</v>
      </c>
      <c r="AA25" s="94">
        <f t="shared" si="2"/>
        <v>52015.56903867791</v>
      </c>
      <c r="AB25" s="89">
        <f t="shared" si="2"/>
        <v>26007.784519338955</v>
      </c>
      <c r="AC25" s="95">
        <f t="shared" si="2"/>
        <v>26007.784519338955</v>
      </c>
      <c r="AD25" s="94">
        <f t="shared" si="3"/>
        <v>162001.5621599812</v>
      </c>
      <c r="AE25" s="89">
        <f t="shared" si="3"/>
        <v>121501.17161998589</v>
      </c>
      <c r="AF25" s="95">
        <f t="shared" si="3"/>
        <v>121501.17161998589</v>
      </c>
      <c r="AG25" s="84"/>
      <c r="AH25" s="118">
        <f t="shared" si="6"/>
        <v>18</v>
      </c>
      <c r="AI25" s="94">
        <f>IF(E$5*$AH25&lt;E$5*E$14,(E$19*E$6*(1+Overview!$B$53)^-(E$5*$AH25)),0)</f>
        <v>0</v>
      </c>
      <c r="AJ25" s="89">
        <f>IF(F$5*$AH25&lt;F$5*F$14,(F$19*F$6*(1+Overview!$B$53)^-(F$5*$AH25)),0)</f>
        <v>0</v>
      </c>
      <c r="AK25" s="95">
        <f>IF(G$5*$AH25&lt;G$5*G$14,(G$19*G$6*(1+Overview!$B$53)^-(G$5*$AH25)),0)</f>
        <v>0</v>
      </c>
      <c r="AL25" s="94">
        <f>IF($AH25=0,0,IF(E$5*$AH25&lt;=E$5*E$14,(E$22*E$6*(1+Overview!$B$53)^-(E$5*$AH25)),0))</f>
        <v>0</v>
      </c>
      <c r="AM25" s="89">
        <f>IF($AH25=0,0,IF(F$5*$AH25&lt;=F$5*F$14,(F$22*F$6*(1+Overview!$B$53)^-(F$5*$AH25)),0))</f>
        <v>0</v>
      </c>
      <c r="AN25" s="95">
        <f>IF($AH25=0,0,IF(G$5*$AH25&lt;=G$5*G$14,(G$22*G$6*(1+Overview!$B$53)^-(G$5*$AH25)),0))</f>
        <v>0</v>
      </c>
      <c r="AO25" s="94">
        <f>IF(E$16&gt;0,IF($AH24*E$14=E$4,-(E$16/E$5)*E$19*E$6*(1+Overview!$B$53)^-E$4+(E$22*E$6*(1+Overview!$B$53)^-E$4),0),0)</f>
        <v>0</v>
      </c>
      <c r="AP25" s="89">
        <f>IF(F$16&gt;0,IF($AH24*F$14=F$4,-(F$16/F$5)*F$19*F$6*(1+Overview!$B$53)^-F$4+(F$22*F$6*(1+Overview!$B$53)^-F$4),0),0)</f>
        <v>0</v>
      </c>
      <c r="AQ25" s="95">
        <f>IF(G$16&gt;0,IF($AH24*G$14=G$4,-(G$16/G$5)*G$19*G$6*(1+Overview!$B$53)^-G$4+(G$22*G$6*(1+Overview!$B$53)^-G$4),0),0)</f>
        <v>0</v>
      </c>
      <c r="AR25" s="84"/>
      <c r="AS25" s="109">
        <f t="shared" si="7"/>
        <v>19</v>
      </c>
      <c r="AT25" s="94">
        <f>IF($AS25&lt;E$4,E$20*E$6*E$11*(1+Overview!$B$53)^-($AS25),0)</f>
        <v>52015.56903867791</v>
      </c>
      <c r="AU25" s="89">
        <f>IF($AS25&lt;F$4,F$20*F$6*F$11*(1+Overview!$B$53)^-($AS25),0)</f>
        <v>26007.784519338955</v>
      </c>
      <c r="AV25" s="89">
        <f>IF($AS25&lt;G$4,G$20*G$6*G$11*(1+Overview!$B$53)^-($AS25),0)</f>
        <v>26007.784519338955</v>
      </c>
      <c r="AW25" s="94">
        <f>IF(E$67=0,IF($AS25&lt;E$4,E$55*(1+Overview!$B$53)^-($AS25),0),IF($AS25&lt;E$4,E$67*(1+Overview!$B$53)^-($AS25),0))</f>
        <v>162001.5621599812</v>
      </c>
      <c r="AX25" s="89">
        <f>IF(F$67=0,IF($AS25&lt;F$4,F$55*(1+Overview!$B$53)^-($AS25),0),IF($AS25&lt;F$4,F$67*(1+Overview!$B$53)^-($AS25),0))</f>
        <v>121501.17161998589</v>
      </c>
      <c r="AY25" s="89">
        <f>IF(G$67=0,IF($AS25&lt;G$4,G$55*(1+Overview!$B$53)^-($AS25),0),IF($AS25&lt;G$4,G$67*(1+Overview!$B$53)^-($AS25),0))</f>
        <v>121501.17161998589</v>
      </c>
      <c r="AZ25" s="89">
        <f>IF(E$68=0,IF($AS25&lt;E$4,E$56*(1+Overview!$B$53)^-($AS25),0),IF($AS25&lt;E$4,E$68*(1+Overview!$B$53)^-($AS25),0))</f>
        <v>0</v>
      </c>
      <c r="BA25" s="89">
        <f>IF(F$68=0,IF($AS25&lt;F$4,F$56*(1+Overview!$B$53)^-($AS25),0),IF($AS25&lt;F$4,F$68*(1+Overview!$B$53)^-($AS25),0))</f>
        <v>0</v>
      </c>
      <c r="BB25" s="89">
        <f>IF(G$68=0,IF($AS25&lt;G$4,G$56*(1+Overview!$B$53)^-($AS25),0),IF($AS25&lt;G$4,G$68*(1+Overview!$B$53)^-($AS25),0))</f>
        <v>0</v>
      </c>
      <c r="BC25" s="89">
        <f>IF(E$69=0,IF($AS25&lt;E$4,E$57*(1+Overview!$B$53)^-($AS25),0),IF($AS25&lt;E$4,E$69*(1+Overview!$B$53)^-($AS25),0))</f>
        <v>0</v>
      </c>
      <c r="BD25" s="89">
        <f>IF(F$69=0,IF($AS25&lt;F$4,F$57*(1+Overview!$B$53)^-($AS25),0),IF($AS25&lt;F$4,F$69*(1+Overview!$B$53)^-($AS25),0))</f>
        <v>0</v>
      </c>
      <c r="BE25" s="95">
        <f>IF(G$69=0,IF($AS25&lt;G$4,G$57*(1+Overview!$B$53)^-($AS25),0),IF($AS25&lt;G$4,G$69*(1+Overview!$B$53)^-($AS25),0))</f>
        <v>0</v>
      </c>
      <c r="BF25" s="1"/>
    </row>
    <row r="26" spans="1:58" x14ac:dyDescent="0.3">
      <c r="A26" s="168" t="s">
        <v>80</v>
      </c>
      <c r="B26" s="185"/>
      <c r="C26" s="185" t="s">
        <v>81</v>
      </c>
      <c r="D26" s="185" t="s">
        <v>76</v>
      </c>
      <c r="E26" s="75">
        <v>0</v>
      </c>
      <c r="F26" s="76">
        <v>0</v>
      </c>
      <c r="G26" s="74">
        <v>0</v>
      </c>
      <c r="H26" s="125" t="s">
        <v>33</v>
      </c>
      <c r="I26" s="70"/>
      <c r="J26" s="70"/>
      <c r="K26" s="139"/>
      <c r="L26" s="103"/>
      <c r="M26" s="33"/>
      <c r="N26" s="33"/>
      <c r="O26" s="33"/>
      <c r="P26" s="144"/>
      <c r="R26" s="118">
        <f t="shared" si="4"/>
        <v>19</v>
      </c>
      <c r="S26" s="94">
        <f t="shared" si="0"/>
        <v>0</v>
      </c>
      <c r="T26" s="89">
        <f t="shared" si="0"/>
        <v>0</v>
      </c>
      <c r="U26" s="95">
        <f t="shared" si="0"/>
        <v>0</v>
      </c>
      <c r="V26" s="94">
        <f t="shared" si="1"/>
        <v>0</v>
      </c>
      <c r="W26" s="89">
        <f t="shared" si="1"/>
        <v>0</v>
      </c>
      <c r="X26" s="95">
        <f t="shared" si="1"/>
        <v>0</v>
      </c>
      <c r="Y26" s="89"/>
      <c r="Z26" s="118">
        <f t="shared" si="5"/>
        <v>20</v>
      </c>
      <c r="AA26" s="94">
        <f t="shared" si="2"/>
        <v>50256.588443167064</v>
      </c>
      <c r="AB26" s="89">
        <f t="shared" si="2"/>
        <v>25128.294221583532</v>
      </c>
      <c r="AC26" s="95">
        <f t="shared" si="2"/>
        <v>25128.294221583532</v>
      </c>
      <c r="AD26" s="94">
        <f t="shared" si="3"/>
        <v>156523.24846374994</v>
      </c>
      <c r="AE26" s="89">
        <f t="shared" si="3"/>
        <v>117392.43634781244</v>
      </c>
      <c r="AF26" s="95">
        <f t="shared" si="3"/>
        <v>117392.43634781244</v>
      </c>
      <c r="AG26" s="84"/>
      <c r="AH26" s="118">
        <f t="shared" si="6"/>
        <v>19</v>
      </c>
      <c r="AI26" s="94">
        <f>IF(E$5*$AH26&lt;E$5*E$14,(E$19*E$6*(1+Overview!$B$53)^-(E$5*$AH26)),0)</f>
        <v>0</v>
      </c>
      <c r="AJ26" s="89">
        <f>IF(F$5*$AH26&lt;F$5*F$14,(F$19*F$6*(1+Overview!$B$53)^-(F$5*$AH26)),0)</f>
        <v>0</v>
      </c>
      <c r="AK26" s="95">
        <f>IF(G$5*$AH26&lt;G$5*G$14,(G$19*G$6*(1+Overview!$B$53)^-(G$5*$AH26)),0)</f>
        <v>0</v>
      </c>
      <c r="AL26" s="94">
        <f>IF($AH26=0,0,IF(E$5*$AH26&lt;=E$5*E$14,(E$22*E$6*(1+Overview!$B$53)^-(E$5*$AH26)),0))</f>
        <v>0</v>
      </c>
      <c r="AM26" s="89">
        <f>IF($AH26=0,0,IF(F$5*$AH26&lt;=F$5*F$14,(F$22*F$6*(1+Overview!$B$53)^-(F$5*$AH26)),0))</f>
        <v>0</v>
      </c>
      <c r="AN26" s="95">
        <f>IF($AH26=0,0,IF(G$5*$AH26&lt;=G$5*G$14,(G$22*G$6*(1+Overview!$B$53)^-(G$5*$AH26)),0))</f>
        <v>0</v>
      </c>
      <c r="AO26" s="94">
        <f>IF(E$16&gt;0,IF($AH25*E$14=E$4,-(E$16/E$5)*E$19*E$6*(1+Overview!$B$53)^-E$4+(E$22*E$6*(1+Overview!$B$53)^-E$4),0),0)</f>
        <v>0</v>
      </c>
      <c r="AP26" s="89">
        <f>IF(F$16&gt;0,IF($AH25*F$14=F$4,-(F$16/F$5)*F$19*F$6*(1+Overview!$B$53)^-F$4+(F$22*F$6*(1+Overview!$B$53)^-F$4),0),0)</f>
        <v>0</v>
      </c>
      <c r="AQ26" s="95">
        <f>IF(G$16&gt;0,IF($AH25*G$14=G$4,-(G$16/G$5)*G$19*G$6*(1+Overview!$B$53)^-G$4+(G$22*G$6*(1+Overview!$B$53)^-G$4),0),0)</f>
        <v>0</v>
      </c>
      <c r="AR26" s="84"/>
      <c r="AS26" s="109">
        <f t="shared" si="7"/>
        <v>20</v>
      </c>
      <c r="AT26" s="94">
        <f>IF($AS26&lt;E$4,E$20*E$6*E$11*(1+Overview!$B$53)^-($AS26),0)</f>
        <v>50256.588443167064</v>
      </c>
      <c r="AU26" s="89">
        <f>IF($AS26&lt;F$4,F$20*F$6*F$11*(1+Overview!$B$53)^-($AS26),0)</f>
        <v>25128.294221583532</v>
      </c>
      <c r="AV26" s="89">
        <f>IF($AS26&lt;G$4,G$20*G$6*G$11*(1+Overview!$B$53)^-($AS26),0)</f>
        <v>25128.294221583532</v>
      </c>
      <c r="AW26" s="94">
        <f>IF(E$67=0,IF($AS26&lt;E$4,E$55*(1+Overview!$B$53)^-($AS26),0),IF($AS26&lt;E$4,E$67*(1+Overview!$B$53)^-($AS26),0))</f>
        <v>156523.24846374994</v>
      </c>
      <c r="AX26" s="89">
        <f>IF(F$67=0,IF($AS26&lt;F$4,F$55*(1+Overview!$B$53)^-($AS26),0),IF($AS26&lt;F$4,F$67*(1+Overview!$B$53)^-($AS26),0))</f>
        <v>117392.43634781244</v>
      </c>
      <c r="AY26" s="89">
        <f>IF(G$67=0,IF($AS26&lt;G$4,G$55*(1+Overview!$B$53)^-($AS26),0),IF($AS26&lt;G$4,G$67*(1+Overview!$B$53)^-($AS26),0))</f>
        <v>117392.43634781244</v>
      </c>
      <c r="AZ26" s="89">
        <f>IF(E$68=0,IF($AS26&lt;E$4,E$56*(1+Overview!$B$53)^-($AS26),0),IF($AS26&lt;E$4,E$68*(1+Overview!$B$53)^-($AS26),0))</f>
        <v>0</v>
      </c>
      <c r="BA26" s="89">
        <f>IF(F$68=0,IF($AS26&lt;F$4,F$56*(1+Overview!$B$53)^-($AS26),0),IF($AS26&lt;F$4,F$68*(1+Overview!$B$53)^-($AS26),0))</f>
        <v>0</v>
      </c>
      <c r="BB26" s="89">
        <f>IF(G$68=0,IF($AS26&lt;G$4,G$56*(1+Overview!$B$53)^-($AS26),0),IF($AS26&lt;G$4,G$68*(1+Overview!$B$53)^-($AS26),0))</f>
        <v>0</v>
      </c>
      <c r="BC26" s="89">
        <f>IF(E$69=0,IF($AS26&lt;E$4,E$57*(1+Overview!$B$53)^-($AS26),0),IF($AS26&lt;E$4,E$69*(1+Overview!$B$53)^-($AS26),0))</f>
        <v>0</v>
      </c>
      <c r="BD26" s="89">
        <f>IF(F$69=0,IF($AS26&lt;F$4,F$57*(1+Overview!$B$53)^-($AS26),0),IF($AS26&lt;F$4,F$69*(1+Overview!$B$53)^-($AS26),0))</f>
        <v>0</v>
      </c>
      <c r="BE26" s="95">
        <f>IF(G$69=0,IF($AS26&lt;G$4,G$57*(1+Overview!$B$53)^-($AS26),0),IF($AS26&lt;G$4,G$69*(1+Overview!$B$53)^-($AS26),0))</f>
        <v>0</v>
      </c>
      <c r="BF26" s="1"/>
    </row>
    <row r="27" spans="1:58" x14ac:dyDescent="0.3">
      <c r="A27" s="168" t="s">
        <v>82</v>
      </c>
      <c r="B27" s="33"/>
      <c r="C27" s="33"/>
      <c r="D27" s="33"/>
      <c r="H27" s="33"/>
      <c r="I27" s="70"/>
      <c r="J27" s="70"/>
      <c r="K27" s="139"/>
      <c r="L27" s="103"/>
      <c r="M27" s="33"/>
      <c r="N27" s="33"/>
      <c r="O27" s="33"/>
      <c r="P27" s="144"/>
      <c r="R27" s="118">
        <f t="shared" si="4"/>
        <v>20</v>
      </c>
      <c r="S27" s="94">
        <f t="shared" ref="S27:U46" si="9">SUMIF($AI$6:$AK$6,S$6,$AI27:$AK27)</f>
        <v>0</v>
      </c>
      <c r="T27" s="89">
        <f t="shared" si="9"/>
        <v>0</v>
      </c>
      <c r="U27" s="95">
        <f t="shared" si="9"/>
        <v>0</v>
      </c>
      <c r="V27" s="94">
        <f t="shared" ref="V27:X46" si="10">SUMIF($AL$6:$AQ$6,V$6,$AL27:$AQ27)</f>
        <v>0</v>
      </c>
      <c r="W27" s="89">
        <f t="shared" si="10"/>
        <v>0</v>
      </c>
      <c r="X27" s="95">
        <f t="shared" si="10"/>
        <v>0</v>
      </c>
      <c r="Y27" s="89"/>
      <c r="Z27" s="118">
        <f t="shared" si="5"/>
        <v>21</v>
      </c>
      <c r="AA27" s="94">
        <f t="shared" ref="AA27:AC46" si="11">SUMIF($AT$6:$AV$6,AA$6,$AT27:$AV27)</f>
        <v>48557.090283253216</v>
      </c>
      <c r="AB27" s="89">
        <f t="shared" si="11"/>
        <v>24278.545141626608</v>
      </c>
      <c r="AC27" s="95">
        <f t="shared" si="11"/>
        <v>24278.545141626608</v>
      </c>
      <c r="AD27" s="94">
        <f t="shared" ref="AD27:AF46" si="12">SUMIF($AW$6:$BE$6,AD$6,$AW27:$BE27)</f>
        <v>151230.19175241544</v>
      </c>
      <c r="AE27" s="89">
        <f t="shared" si="12"/>
        <v>113422.64381431158</v>
      </c>
      <c r="AF27" s="95">
        <f t="shared" si="12"/>
        <v>113422.64381431158</v>
      </c>
      <c r="AG27" s="84"/>
      <c r="AH27" s="118">
        <f t="shared" si="6"/>
        <v>20</v>
      </c>
      <c r="AI27" s="94">
        <f>IF(E$5*$AH27&lt;E$5*E$14,(E$19*E$6*(1+Overview!$B$53)^-(E$5*$AH27)),0)</f>
        <v>0</v>
      </c>
      <c r="AJ27" s="89">
        <f>IF(F$5*$AH27&lt;F$5*F$14,(F$19*F$6*(1+Overview!$B$53)^-(F$5*$AH27)),0)</f>
        <v>0</v>
      </c>
      <c r="AK27" s="95">
        <f>IF(G$5*$AH27&lt;G$5*G$14,(G$19*G$6*(1+Overview!$B$53)^-(G$5*$AH27)),0)</f>
        <v>0</v>
      </c>
      <c r="AL27" s="94">
        <f>IF($AH27=0,0,IF(E$5*$AH27&lt;=E$5*E$14,(E$22*E$6*(1+Overview!$B$53)^-(E$5*$AH27)),0))</f>
        <v>0</v>
      </c>
      <c r="AM27" s="89">
        <f>IF($AH27=0,0,IF(F$5*$AH27&lt;=F$5*F$14,(F$22*F$6*(1+Overview!$B$53)^-(F$5*$AH27)),0))</f>
        <v>0</v>
      </c>
      <c r="AN27" s="95">
        <f>IF($AH27=0,0,IF(G$5*$AH27&lt;=G$5*G$14,(G$22*G$6*(1+Overview!$B$53)^-(G$5*$AH27)),0))</f>
        <v>0</v>
      </c>
      <c r="AO27" s="94">
        <f>IF(E$16&gt;0,IF($AH26*E$14=E$4,-(E$16/E$5)*E$19*E$6*(1+Overview!$B$53)^-E$4+(E$22*E$6*(1+Overview!$B$53)^-E$4),0),0)</f>
        <v>0</v>
      </c>
      <c r="AP27" s="89">
        <f>IF(F$16&gt;0,IF($AH26*F$14=F$4,-(F$16/F$5)*F$19*F$6*(1+Overview!$B$53)^-F$4+(F$22*F$6*(1+Overview!$B$53)^-F$4),0),0)</f>
        <v>0</v>
      </c>
      <c r="AQ27" s="95">
        <f>IF(G$16&gt;0,IF($AH26*G$14=G$4,-(G$16/G$5)*G$19*G$6*(1+Overview!$B$53)^-G$4+(G$22*G$6*(1+Overview!$B$53)^-G$4),0),0)</f>
        <v>0</v>
      </c>
      <c r="AR27" s="84"/>
      <c r="AS27" s="109">
        <f t="shared" si="7"/>
        <v>21</v>
      </c>
      <c r="AT27" s="94">
        <f>IF($AS27&lt;E$4,E$20*E$6*E$11*(1+Overview!$B$53)^-($AS27),0)</f>
        <v>48557.090283253216</v>
      </c>
      <c r="AU27" s="89">
        <f>IF($AS27&lt;F$4,F$20*F$6*F$11*(1+Overview!$B$53)^-($AS27),0)</f>
        <v>24278.545141626608</v>
      </c>
      <c r="AV27" s="89">
        <f>IF($AS27&lt;G$4,G$20*G$6*G$11*(1+Overview!$B$53)^-($AS27),0)</f>
        <v>24278.545141626608</v>
      </c>
      <c r="AW27" s="94">
        <f>IF(E$67=0,IF($AS27&lt;E$4,E$55*(1+Overview!$B$53)^-($AS27),0),IF($AS27&lt;E$4,E$67*(1+Overview!$B$53)^-($AS27),0))</f>
        <v>151230.19175241544</v>
      </c>
      <c r="AX27" s="89">
        <f>IF(F$67=0,IF($AS27&lt;F$4,F$55*(1+Overview!$B$53)^-($AS27),0),IF($AS27&lt;F$4,F$67*(1+Overview!$B$53)^-($AS27),0))</f>
        <v>113422.64381431158</v>
      </c>
      <c r="AY27" s="89">
        <f>IF(G$67=0,IF($AS27&lt;G$4,G$55*(1+Overview!$B$53)^-($AS27),0),IF($AS27&lt;G$4,G$67*(1+Overview!$B$53)^-($AS27),0))</f>
        <v>113422.64381431158</v>
      </c>
      <c r="AZ27" s="89">
        <f>IF(E$68=0,IF($AS27&lt;E$4,E$56*(1+Overview!$B$53)^-($AS27),0),IF($AS27&lt;E$4,E$68*(1+Overview!$B$53)^-($AS27),0))</f>
        <v>0</v>
      </c>
      <c r="BA27" s="89">
        <f>IF(F$68=0,IF($AS27&lt;F$4,F$56*(1+Overview!$B$53)^-($AS27),0),IF($AS27&lt;F$4,F$68*(1+Overview!$B$53)^-($AS27),0))</f>
        <v>0</v>
      </c>
      <c r="BB27" s="89">
        <f>IF(G$68=0,IF($AS27&lt;G$4,G$56*(1+Overview!$B$53)^-($AS27),0),IF($AS27&lt;G$4,G$68*(1+Overview!$B$53)^-($AS27),0))</f>
        <v>0</v>
      </c>
      <c r="BC27" s="89">
        <f>IF(E$69=0,IF($AS27&lt;E$4,E$57*(1+Overview!$B$53)^-($AS27),0),IF($AS27&lt;E$4,E$69*(1+Overview!$B$53)^-($AS27),0))</f>
        <v>0</v>
      </c>
      <c r="BD27" s="89">
        <f>IF(F$69=0,IF($AS27&lt;F$4,F$57*(1+Overview!$B$53)^-($AS27),0),IF($AS27&lt;F$4,F$69*(1+Overview!$B$53)^-($AS27),0))</f>
        <v>0</v>
      </c>
      <c r="BE27" s="95">
        <f>IF(G$69=0,IF($AS27&lt;G$4,G$57*(1+Overview!$B$53)^-($AS27),0),IF($AS27&lt;G$4,G$69*(1+Overview!$B$53)^-($AS27),0))</f>
        <v>0</v>
      </c>
      <c r="BF27" s="1"/>
    </row>
    <row r="28" spans="1:58" x14ac:dyDescent="0.3">
      <c r="A28" s="33"/>
      <c r="B28" s="68" t="s">
        <v>83</v>
      </c>
      <c r="C28" s="185" t="s">
        <v>84</v>
      </c>
      <c r="D28" s="185" t="s">
        <v>85</v>
      </c>
      <c r="E28" s="114">
        <v>310</v>
      </c>
      <c r="F28" s="115">
        <v>310</v>
      </c>
      <c r="G28" s="116">
        <v>310</v>
      </c>
      <c r="H28" s="126" t="s">
        <v>33</v>
      </c>
      <c r="I28" s="123" t="s">
        <v>69</v>
      </c>
      <c r="J28" s="123"/>
      <c r="K28" s="140"/>
      <c r="L28" s="103"/>
      <c r="M28" s="100"/>
      <c r="N28" s="33"/>
      <c r="O28" s="33"/>
      <c r="P28" s="144"/>
      <c r="R28" s="118">
        <f t="shared" si="4"/>
        <v>21</v>
      </c>
      <c r="S28" s="94">
        <f t="shared" si="9"/>
        <v>0</v>
      </c>
      <c r="T28" s="89">
        <f t="shared" si="9"/>
        <v>0</v>
      </c>
      <c r="U28" s="95">
        <f t="shared" si="9"/>
        <v>0</v>
      </c>
      <c r="V28" s="94">
        <f t="shared" si="10"/>
        <v>0</v>
      </c>
      <c r="W28" s="89">
        <f t="shared" si="10"/>
        <v>0</v>
      </c>
      <c r="X28" s="95">
        <f t="shared" si="10"/>
        <v>0</v>
      </c>
      <c r="Y28" s="89"/>
      <c r="Z28" s="118">
        <f t="shared" si="5"/>
        <v>22</v>
      </c>
      <c r="AA28" s="94">
        <f t="shared" si="11"/>
        <v>46915.063075606966</v>
      </c>
      <c r="AB28" s="89">
        <f t="shared" si="11"/>
        <v>23457.531537803483</v>
      </c>
      <c r="AC28" s="95">
        <f t="shared" si="11"/>
        <v>23457.531537803483</v>
      </c>
      <c r="AD28" s="94">
        <f t="shared" si="12"/>
        <v>146116.12729701976</v>
      </c>
      <c r="AE28" s="89">
        <f t="shared" si="12"/>
        <v>109587.09547276481</v>
      </c>
      <c r="AF28" s="95">
        <f t="shared" si="12"/>
        <v>109587.09547276481</v>
      </c>
      <c r="AG28" s="84"/>
      <c r="AH28" s="118">
        <f t="shared" si="6"/>
        <v>21</v>
      </c>
      <c r="AI28" s="94">
        <f>IF(E$5*$AH28&lt;E$5*E$14,(E$19*E$6*(1+Overview!$B$53)^-(E$5*$AH28)),0)</f>
        <v>0</v>
      </c>
      <c r="AJ28" s="89">
        <f>IF(F$5*$AH28&lt;F$5*F$14,(F$19*F$6*(1+Overview!$B$53)^-(F$5*$AH28)),0)</f>
        <v>0</v>
      </c>
      <c r="AK28" s="95">
        <f>IF(G$5*$AH28&lt;G$5*G$14,(G$19*G$6*(1+Overview!$B$53)^-(G$5*$AH28)),0)</f>
        <v>0</v>
      </c>
      <c r="AL28" s="94">
        <f>IF($AH28=0,0,IF(E$5*$AH28&lt;=E$5*E$14,(E$22*E$6*(1+Overview!$B$53)^-(E$5*$AH28)),0))</f>
        <v>0</v>
      </c>
      <c r="AM28" s="89">
        <f>IF($AH28=0,0,IF(F$5*$AH28&lt;=F$5*F$14,(F$22*F$6*(1+Overview!$B$53)^-(F$5*$AH28)),0))</f>
        <v>0</v>
      </c>
      <c r="AN28" s="95">
        <f>IF($AH28=0,0,IF(G$5*$AH28&lt;=G$5*G$14,(G$22*G$6*(1+Overview!$B$53)^-(G$5*$AH28)),0))</f>
        <v>0</v>
      </c>
      <c r="AO28" s="94">
        <f>IF(E$16&gt;0,IF($AH27*E$14=E$4,-(E$16/E$5)*E$19*E$6*(1+Overview!$B$53)^-E$4+(E$22*E$6*(1+Overview!$B$53)^-E$4),0),0)</f>
        <v>0</v>
      </c>
      <c r="AP28" s="89">
        <f>IF(F$16&gt;0,IF($AH27*F$14=F$4,-(F$16/F$5)*F$19*F$6*(1+Overview!$B$53)^-F$4+(F$22*F$6*(1+Overview!$B$53)^-F$4),0),0)</f>
        <v>0</v>
      </c>
      <c r="AQ28" s="95">
        <f>IF(G$16&gt;0,IF($AH27*G$14=G$4,-(G$16/G$5)*G$19*G$6*(1+Overview!$B$53)^-G$4+(G$22*G$6*(1+Overview!$B$53)^-G$4),0),0)</f>
        <v>0</v>
      </c>
      <c r="AR28" s="84"/>
      <c r="AS28" s="109">
        <f t="shared" si="7"/>
        <v>22</v>
      </c>
      <c r="AT28" s="94">
        <f>IF($AS28&lt;E$4,E$20*E$6*E$11*(1+Overview!$B$53)^-($AS28),0)</f>
        <v>46915.063075606966</v>
      </c>
      <c r="AU28" s="89">
        <f>IF($AS28&lt;F$4,F$20*F$6*F$11*(1+Overview!$B$53)^-($AS28),0)</f>
        <v>23457.531537803483</v>
      </c>
      <c r="AV28" s="89">
        <f>IF($AS28&lt;G$4,G$20*G$6*G$11*(1+Overview!$B$53)^-($AS28),0)</f>
        <v>23457.531537803483</v>
      </c>
      <c r="AW28" s="94">
        <f>IF(E$67=0,IF($AS28&lt;E$4,E$55*(1+Overview!$B$53)^-($AS28),0),IF($AS28&lt;E$4,E$67*(1+Overview!$B$53)^-($AS28),0))</f>
        <v>146116.12729701976</v>
      </c>
      <c r="AX28" s="89">
        <f>IF(F$67=0,IF($AS28&lt;F$4,F$55*(1+Overview!$B$53)^-($AS28),0),IF($AS28&lt;F$4,F$67*(1+Overview!$B$53)^-($AS28),0))</f>
        <v>109587.09547276481</v>
      </c>
      <c r="AY28" s="89">
        <f>IF(G$67=0,IF($AS28&lt;G$4,G$55*(1+Overview!$B$53)^-($AS28),0),IF($AS28&lt;G$4,G$67*(1+Overview!$B$53)^-($AS28),0))</f>
        <v>109587.09547276481</v>
      </c>
      <c r="AZ28" s="89">
        <f>IF(E$68=0,IF($AS28&lt;E$4,E$56*(1+Overview!$B$53)^-($AS28),0),IF($AS28&lt;E$4,E$68*(1+Overview!$B$53)^-($AS28),0))</f>
        <v>0</v>
      </c>
      <c r="BA28" s="89">
        <f>IF(F$68=0,IF($AS28&lt;F$4,F$56*(1+Overview!$B$53)^-($AS28),0),IF($AS28&lt;F$4,F$68*(1+Overview!$B$53)^-($AS28),0))</f>
        <v>0</v>
      </c>
      <c r="BB28" s="89">
        <f>IF(G$68=0,IF($AS28&lt;G$4,G$56*(1+Overview!$B$53)^-($AS28),0),IF($AS28&lt;G$4,G$68*(1+Overview!$B$53)^-($AS28),0))</f>
        <v>0</v>
      </c>
      <c r="BC28" s="89">
        <f>IF(E$69=0,IF($AS28&lt;E$4,E$57*(1+Overview!$B$53)^-($AS28),0),IF($AS28&lt;E$4,E$69*(1+Overview!$B$53)^-($AS28),0))</f>
        <v>0</v>
      </c>
      <c r="BD28" s="89">
        <f>IF(F$69=0,IF($AS28&lt;F$4,F$57*(1+Overview!$B$53)^-($AS28),0),IF($AS28&lt;F$4,F$69*(1+Overview!$B$53)^-($AS28),0))</f>
        <v>0</v>
      </c>
      <c r="BE28" s="95">
        <f>IF(G$69=0,IF($AS28&lt;G$4,G$57*(1+Overview!$B$53)^-($AS28),0),IF($AS28&lt;G$4,G$69*(1+Overview!$B$53)^-($AS28),0))</f>
        <v>0</v>
      </c>
      <c r="BF28" s="1"/>
    </row>
    <row r="29" spans="1:58" x14ac:dyDescent="0.3">
      <c r="A29" s="33"/>
      <c r="B29" s="33"/>
      <c r="C29" s="185" t="s">
        <v>86</v>
      </c>
      <c r="D29" s="185" t="s">
        <v>85</v>
      </c>
      <c r="E29" s="114">
        <v>310</v>
      </c>
      <c r="F29" s="115">
        <v>310</v>
      </c>
      <c r="G29" s="116">
        <v>310</v>
      </c>
      <c r="H29" s="126" t="s">
        <v>33</v>
      </c>
      <c r="I29" s="70"/>
      <c r="J29" s="70"/>
      <c r="K29" s="139"/>
      <c r="L29" s="103"/>
      <c r="M29" s="99"/>
      <c r="N29" s="99"/>
      <c r="O29" s="99"/>
      <c r="P29" s="148"/>
      <c r="R29" s="118">
        <f t="shared" si="4"/>
        <v>22</v>
      </c>
      <c r="S29" s="94">
        <f t="shared" si="9"/>
        <v>0</v>
      </c>
      <c r="T29" s="89">
        <f t="shared" si="9"/>
        <v>0</v>
      </c>
      <c r="U29" s="95">
        <f t="shared" si="9"/>
        <v>0</v>
      </c>
      <c r="V29" s="94">
        <f t="shared" si="10"/>
        <v>0</v>
      </c>
      <c r="W29" s="89">
        <f t="shared" si="10"/>
        <v>0</v>
      </c>
      <c r="X29" s="95">
        <f t="shared" si="10"/>
        <v>0</v>
      </c>
      <c r="Y29" s="89"/>
      <c r="Z29" s="118">
        <f t="shared" si="5"/>
        <v>23</v>
      </c>
      <c r="AA29" s="94">
        <f t="shared" si="11"/>
        <v>45328.563358074367</v>
      </c>
      <c r="AB29" s="89">
        <f t="shared" si="11"/>
        <v>22664.281679037183</v>
      </c>
      <c r="AC29" s="95">
        <f t="shared" si="11"/>
        <v>22664.281679037183</v>
      </c>
      <c r="AD29" s="94">
        <f t="shared" si="12"/>
        <v>141175.00221934274</v>
      </c>
      <c r="AE29" s="89">
        <f t="shared" si="12"/>
        <v>105881.25166450706</v>
      </c>
      <c r="AF29" s="95">
        <f t="shared" si="12"/>
        <v>105881.25166450706</v>
      </c>
      <c r="AG29" s="84"/>
      <c r="AH29" s="118">
        <f t="shared" si="6"/>
        <v>22</v>
      </c>
      <c r="AI29" s="94">
        <f>IF(E$5*$AH29&lt;E$5*E$14,(E$19*E$6*(1+Overview!$B$53)^-(E$5*$AH29)),0)</f>
        <v>0</v>
      </c>
      <c r="AJ29" s="89">
        <f>IF(F$5*$AH29&lt;F$5*F$14,(F$19*F$6*(1+Overview!$B$53)^-(F$5*$AH29)),0)</f>
        <v>0</v>
      </c>
      <c r="AK29" s="95">
        <f>IF(G$5*$AH29&lt;G$5*G$14,(G$19*G$6*(1+Overview!$B$53)^-(G$5*$AH29)),0)</f>
        <v>0</v>
      </c>
      <c r="AL29" s="94">
        <f>IF($AH29=0,0,IF(E$5*$AH29&lt;=E$5*E$14,(E$22*E$6*(1+Overview!$B$53)^-(E$5*$AH29)),0))</f>
        <v>0</v>
      </c>
      <c r="AM29" s="89">
        <f>IF($AH29=0,0,IF(F$5*$AH29&lt;=F$5*F$14,(F$22*F$6*(1+Overview!$B$53)^-(F$5*$AH29)),0))</f>
        <v>0</v>
      </c>
      <c r="AN29" s="95">
        <f>IF($AH29=0,0,IF(G$5*$AH29&lt;=G$5*G$14,(G$22*G$6*(1+Overview!$B$53)^-(G$5*$AH29)),0))</f>
        <v>0</v>
      </c>
      <c r="AO29" s="94">
        <f>IF(E$16&gt;0,IF($AH28*E$14=E$4,-(E$16/E$5)*E$19*E$6*(1+Overview!$B$53)^-E$4+(E$22*E$6*(1+Overview!$B$53)^-E$4),0),0)</f>
        <v>0</v>
      </c>
      <c r="AP29" s="89">
        <f>IF(F$16&gt;0,IF($AH28*F$14=F$4,-(F$16/F$5)*F$19*F$6*(1+Overview!$B$53)^-F$4+(F$22*F$6*(1+Overview!$B$53)^-F$4),0),0)</f>
        <v>0</v>
      </c>
      <c r="AQ29" s="95">
        <f>IF(G$16&gt;0,IF($AH28*G$14=G$4,-(G$16/G$5)*G$19*G$6*(1+Overview!$B$53)^-G$4+(G$22*G$6*(1+Overview!$B$53)^-G$4),0),0)</f>
        <v>0</v>
      </c>
      <c r="AR29" s="84"/>
      <c r="AS29" s="109">
        <f t="shared" si="7"/>
        <v>23</v>
      </c>
      <c r="AT29" s="94">
        <f>IF($AS29&lt;E$4,E$20*E$6*E$11*(1+Overview!$B$53)^-($AS29),0)</f>
        <v>45328.563358074367</v>
      </c>
      <c r="AU29" s="89">
        <f>IF($AS29&lt;F$4,F$20*F$6*F$11*(1+Overview!$B$53)^-($AS29),0)</f>
        <v>22664.281679037183</v>
      </c>
      <c r="AV29" s="89">
        <f>IF($AS29&lt;G$4,G$20*G$6*G$11*(1+Overview!$B$53)^-($AS29),0)</f>
        <v>22664.281679037183</v>
      </c>
      <c r="AW29" s="94">
        <f>IF(E$67=0,IF($AS29&lt;E$4,E$55*(1+Overview!$B$53)^-($AS29),0),IF($AS29&lt;E$4,E$67*(1+Overview!$B$53)^-($AS29),0))</f>
        <v>141175.00221934274</v>
      </c>
      <c r="AX29" s="89">
        <f>IF(F$67=0,IF($AS29&lt;F$4,F$55*(1+Overview!$B$53)^-($AS29),0),IF($AS29&lt;F$4,F$67*(1+Overview!$B$53)^-($AS29),0))</f>
        <v>105881.25166450706</v>
      </c>
      <c r="AY29" s="89">
        <f>IF(G$67=0,IF($AS29&lt;G$4,G$55*(1+Overview!$B$53)^-($AS29),0),IF($AS29&lt;G$4,G$67*(1+Overview!$B$53)^-($AS29),0))</f>
        <v>105881.25166450706</v>
      </c>
      <c r="AZ29" s="89">
        <f>IF(E$68=0,IF($AS29&lt;E$4,E$56*(1+Overview!$B$53)^-($AS29),0),IF($AS29&lt;E$4,E$68*(1+Overview!$B$53)^-($AS29),0))</f>
        <v>0</v>
      </c>
      <c r="BA29" s="89">
        <f>IF(F$68=0,IF($AS29&lt;F$4,F$56*(1+Overview!$B$53)^-($AS29),0),IF($AS29&lt;F$4,F$68*(1+Overview!$B$53)^-($AS29),0))</f>
        <v>0</v>
      </c>
      <c r="BB29" s="89">
        <f>IF(G$68=0,IF($AS29&lt;G$4,G$56*(1+Overview!$B$53)^-($AS29),0),IF($AS29&lt;G$4,G$68*(1+Overview!$B$53)^-($AS29),0))</f>
        <v>0</v>
      </c>
      <c r="BC29" s="89">
        <f>IF(E$69=0,IF($AS29&lt;E$4,E$57*(1+Overview!$B$53)^-($AS29),0),IF($AS29&lt;E$4,E$69*(1+Overview!$B$53)^-($AS29),0))</f>
        <v>0</v>
      </c>
      <c r="BD29" s="89">
        <f>IF(F$69=0,IF($AS29&lt;F$4,F$57*(1+Overview!$B$53)^-($AS29),0),IF($AS29&lt;F$4,F$69*(1+Overview!$B$53)^-($AS29),0))</f>
        <v>0</v>
      </c>
      <c r="BE29" s="95">
        <f>IF(G$69=0,IF($AS29&lt;G$4,G$57*(1+Overview!$B$53)^-($AS29),0),IF($AS29&lt;G$4,G$69*(1+Overview!$B$53)^-($AS29),0))</f>
        <v>0</v>
      </c>
      <c r="BF29" s="1"/>
    </row>
    <row r="30" spans="1:58" x14ac:dyDescent="0.3">
      <c r="A30" s="33"/>
      <c r="B30" s="33"/>
      <c r="C30" s="185" t="s">
        <v>87</v>
      </c>
      <c r="D30" s="185" t="s">
        <v>85</v>
      </c>
      <c r="E30" s="114">
        <v>310</v>
      </c>
      <c r="F30" s="115">
        <v>310</v>
      </c>
      <c r="G30" s="116">
        <v>310</v>
      </c>
      <c r="H30" s="126" t="s">
        <v>33</v>
      </c>
      <c r="I30" s="70"/>
      <c r="J30" s="70"/>
      <c r="K30" s="139"/>
      <c r="L30" s="103"/>
      <c r="M30" s="101"/>
      <c r="N30" s="101"/>
      <c r="O30" s="101"/>
      <c r="P30" s="146"/>
      <c r="R30" s="118">
        <f t="shared" si="4"/>
        <v>23</v>
      </c>
      <c r="S30" s="94">
        <f t="shared" si="9"/>
        <v>0</v>
      </c>
      <c r="T30" s="89">
        <f t="shared" si="9"/>
        <v>0</v>
      </c>
      <c r="U30" s="95">
        <f t="shared" si="9"/>
        <v>0</v>
      </c>
      <c r="V30" s="94">
        <f t="shared" si="10"/>
        <v>0</v>
      </c>
      <c r="W30" s="89">
        <f t="shared" si="10"/>
        <v>0</v>
      </c>
      <c r="X30" s="95">
        <f t="shared" si="10"/>
        <v>0</v>
      </c>
      <c r="Y30" s="89"/>
      <c r="Z30" s="118">
        <f t="shared" si="5"/>
        <v>24</v>
      </c>
      <c r="AA30" s="94">
        <f t="shared" si="11"/>
        <v>43795.713389443838</v>
      </c>
      <c r="AB30" s="89">
        <f t="shared" si="11"/>
        <v>21897.856694721919</v>
      </c>
      <c r="AC30" s="95">
        <f t="shared" si="11"/>
        <v>21897.856694721919</v>
      </c>
      <c r="AD30" s="94">
        <f t="shared" si="12"/>
        <v>136400.96832786742</v>
      </c>
      <c r="AE30" s="89">
        <f t="shared" si="12"/>
        <v>102300.72624590056</v>
      </c>
      <c r="AF30" s="95">
        <f t="shared" si="12"/>
        <v>102300.72624590056</v>
      </c>
      <c r="AG30" s="84"/>
      <c r="AH30" s="118">
        <f t="shared" si="6"/>
        <v>23</v>
      </c>
      <c r="AI30" s="94">
        <f>IF(E$5*$AH30&lt;E$5*E$14,(E$19*E$6*(1+Overview!$B$53)^-(E$5*$AH30)),0)</f>
        <v>0</v>
      </c>
      <c r="AJ30" s="89">
        <f>IF(F$5*$AH30&lt;F$5*F$14,(F$19*F$6*(1+Overview!$B$53)^-(F$5*$AH30)),0)</f>
        <v>0</v>
      </c>
      <c r="AK30" s="95">
        <f>IF(G$5*$AH30&lt;G$5*G$14,(G$19*G$6*(1+Overview!$B$53)^-(G$5*$AH30)),0)</f>
        <v>0</v>
      </c>
      <c r="AL30" s="94">
        <f>IF($AH30=0,0,IF(E$5*$AH30&lt;=E$5*E$14,(E$22*E$6*(1+Overview!$B$53)^-(E$5*$AH30)),0))</f>
        <v>0</v>
      </c>
      <c r="AM30" s="89">
        <f>IF($AH30=0,0,IF(F$5*$AH30&lt;=F$5*F$14,(F$22*F$6*(1+Overview!$B$53)^-(F$5*$AH30)),0))</f>
        <v>0</v>
      </c>
      <c r="AN30" s="95">
        <f>IF($AH30=0,0,IF(G$5*$AH30&lt;=G$5*G$14,(G$22*G$6*(1+Overview!$B$53)^-(G$5*$AH30)),0))</f>
        <v>0</v>
      </c>
      <c r="AO30" s="94">
        <f>IF(E$16&gt;0,IF($AH29*E$14=E$4,-(E$16/E$5)*E$19*E$6*(1+Overview!$B$53)^-E$4+(E$22*E$6*(1+Overview!$B$53)^-E$4),0),0)</f>
        <v>0</v>
      </c>
      <c r="AP30" s="89">
        <f>IF(F$16&gt;0,IF($AH29*F$14=F$4,-(F$16/F$5)*F$19*F$6*(1+Overview!$B$53)^-F$4+(F$22*F$6*(1+Overview!$B$53)^-F$4),0),0)</f>
        <v>0</v>
      </c>
      <c r="AQ30" s="95">
        <f>IF(G$16&gt;0,IF($AH29*G$14=G$4,-(G$16/G$5)*G$19*G$6*(1+Overview!$B$53)^-G$4+(G$22*G$6*(1+Overview!$B$53)^-G$4),0),0)</f>
        <v>0</v>
      </c>
      <c r="AR30" s="84"/>
      <c r="AS30" s="109">
        <f t="shared" si="7"/>
        <v>24</v>
      </c>
      <c r="AT30" s="94">
        <f>IF($AS30&lt;E$4,E$20*E$6*E$11*(1+Overview!$B$53)^-($AS30),0)</f>
        <v>43795.713389443838</v>
      </c>
      <c r="AU30" s="89">
        <f>IF($AS30&lt;F$4,F$20*F$6*F$11*(1+Overview!$B$53)^-($AS30),0)</f>
        <v>21897.856694721919</v>
      </c>
      <c r="AV30" s="89">
        <f>IF($AS30&lt;G$4,G$20*G$6*G$11*(1+Overview!$B$53)^-($AS30),0)</f>
        <v>21897.856694721919</v>
      </c>
      <c r="AW30" s="94">
        <f>IF(E$67=0,IF($AS30&lt;E$4,E$55*(1+Overview!$B$53)^-($AS30),0),IF($AS30&lt;E$4,E$67*(1+Overview!$B$53)^-($AS30),0))</f>
        <v>136400.96832786742</v>
      </c>
      <c r="AX30" s="89">
        <f>IF(F$67=0,IF($AS30&lt;F$4,F$55*(1+Overview!$B$53)^-($AS30),0),IF($AS30&lt;F$4,F$67*(1+Overview!$B$53)^-($AS30),0))</f>
        <v>102300.72624590056</v>
      </c>
      <c r="AY30" s="89">
        <f>IF(G$67=0,IF($AS30&lt;G$4,G$55*(1+Overview!$B$53)^-($AS30),0),IF($AS30&lt;G$4,G$67*(1+Overview!$B$53)^-($AS30),0))</f>
        <v>102300.72624590056</v>
      </c>
      <c r="AZ30" s="89">
        <f>IF(E$68=0,IF($AS30&lt;E$4,E$56*(1+Overview!$B$53)^-($AS30),0),IF($AS30&lt;E$4,E$68*(1+Overview!$B$53)^-($AS30),0))</f>
        <v>0</v>
      </c>
      <c r="BA30" s="89">
        <f>IF(F$68=0,IF($AS30&lt;F$4,F$56*(1+Overview!$B$53)^-($AS30),0),IF($AS30&lt;F$4,F$68*(1+Overview!$B$53)^-($AS30),0))</f>
        <v>0</v>
      </c>
      <c r="BB30" s="89">
        <f>IF(G$68=0,IF($AS30&lt;G$4,G$56*(1+Overview!$B$53)^-($AS30),0),IF($AS30&lt;G$4,G$68*(1+Overview!$B$53)^-($AS30),0))</f>
        <v>0</v>
      </c>
      <c r="BC30" s="89">
        <f>IF(E$69=0,IF($AS30&lt;E$4,E$57*(1+Overview!$B$53)^-($AS30),0),IF($AS30&lt;E$4,E$69*(1+Overview!$B$53)^-($AS30),0))</f>
        <v>0</v>
      </c>
      <c r="BD30" s="89">
        <f>IF(F$69=0,IF($AS30&lt;F$4,F$57*(1+Overview!$B$53)^-($AS30),0),IF($AS30&lt;F$4,F$69*(1+Overview!$B$53)^-($AS30),0))</f>
        <v>0</v>
      </c>
      <c r="BE30" s="95">
        <f>IF(G$69=0,IF($AS30&lt;G$4,G$57*(1+Overview!$B$53)^-($AS30),0),IF($AS30&lt;G$4,G$69*(1+Overview!$B$53)^-($AS30),0))</f>
        <v>0</v>
      </c>
      <c r="BF30" s="1"/>
    </row>
    <row r="31" spans="1:58" x14ac:dyDescent="0.3">
      <c r="A31" s="33"/>
      <c r="B31" s="33"/>
      <c r="C31" s="185"/>
      <c r="D31" s="185"/>
      <c r="H31" s="33"/>
      <c r="I31" s="70"/>
      <c r="J31" s="70"/>
      <c r="K31" s="139"/>
      <c r="L31" s="103"/>
      <c r="M31" s="101"/>
      <c r="N31" s="101"/>
      <c r="O31" s="101"/>
      <c r="P31" s="146"/>
      <c r="R31" s="118">
        <f t="shared" si="4"/>
        <v>24</v>
      </c>
      <c r="S31" s="94">
        <f t="shared" si="9"/>
        <v>0</v>
      </c>
      <c r="T31" s="89">
        <f t="shared" si="9"/>
        <v>0</v>
      </c>
      <c r="U31" s="95">
        <f t="shared" si="9"/>
        <v>0</v>
      </c>
      <c r="V31" s="94">
        <f t="shared" si="10"/>
        <v>0</v>
      </c>
      <c r="W31" s="89">
        <f t="shared" si="10"/>
        <v>0</v>
      </c>
      <c r="X31" s="95">
        <f t="shared" si="10"/>
        <v>0</v>
      </c>
      <c r="Y31" s="89"/>
      <c r="Z31" s="118">
        <f t="shared" si="5"/>
        <v>25</v>
      </c>
      <c r="AA31" s="94">
        <f t="shared" si="11"/>
        <v>42314.698926998884</v>
      </c>
      <c r="AB31" s="89">
        <f t="shared" si="11"/>
        <v>21157.349463499442</v>
      </c>
      <c r="AC31" s="95">
        <f t="shared" si="11"/>
        <v>21157.349463499442</v>
      </c>
      <c r="AD31" s="94">
        <f t="shared" si="12"/>
        <v>131788.3751960072</v>
      </c>
      <c r="AE31" s="89">
        <f t="shared" si="12"/>
        <v>98841.281397005383</v>
      </c>
      <c r="AF31" s="95">
        <f t="shared" si="12"/>
        <v>98841.281397005383</v>
      </c>
      <c r="AG31" s="84"/>
      <c r="AH31" s="118">
        <f t="shared" si="6"/>
        <v>24</v>
      </c>
      <c r="AI31" s="94">
        <f>IF(E$5*$AH31&lt;E$5*E$14,(E$19*E$6*(1+Overview!$B$53)^-(E$5*$AH31)),0)</f>
        <v>0</v>
      </c>
      <c r="AJ31" s="89">
        <f>IF(F$5*$AH31&lt;F$5*F$14,(F$19*F$6*(1+Overview!$B$53)^-(F$5*$AH31)),0)</f>
        <v>0</v>
      </c>
      <c r="AK31" s="95">
        <f>IF(G$5*$AH31&lt;G$5*G$14,(G$19*G$6*(1+Overview!$B$53)^-(G$5*$AH31)),0)</f>
        <v>0</v>
      </c>
      <c r="AL31" s="94">
        <f>IF($AH31=0,0,IF(E$5*$AH31&lt;=E$5*E$14,(E$22*E$6*(1+Overview!$B$53)^-(E$5*$AH31)),0))</f>
        <v>0</v>
      </c>
      <c r="AM31" s="89">
        <f>IF($AH31=0,0,IF(F$5*$AH31&lt;=F$5*F$14,(F$22*F$6*(1+Overview!$B$53)^-(F$5*$AH31)),0))</f>
        <v>0</v>
      </c>
      <c r="AN31" s="95">
        <f>IF($AH31=0,0,IF(G$5*$AH31&lt;=G$5*G$14,(G$22*G$6*(1+Overview!$B$53)^-(G$5*$AH31)),0))</f>
        <v>0</v>
      </c>
      <c r="AO31" s="94">
        <f>IF(E$16&gt;0,IF($AH30*E$14=E$4,-(E$16/E$5)*E$19*E$6*(1+Overview!$B$53)^-E$4+(E$22*E$6*(1+Overview!$B$53)^-E$4),0),0)</f>
        <v>0</v>
      </c>
      <c r="AP31" s="89">
        <f>IF(F$16&gt;0,IF($AH30*F$14=F$4,-(F$16/F$5)*F$19*F$6*(1+Overview!$B$53)^-F$4+(F$22*F$6*(1+Overview!$B$53)^-F$4),0),0)</f>
        <v>0</v>
      </c>
      <c r="AQ31" s="95">
        <f>IF(G$16&gt;0,IF($AH30*G$14=G$4,-(G$16/G$5)*G$19*G$6*(1+Overview!$B$53)^-G$4+(G$22*G$6*(1+Overview!$B$53)^-G$4),0),0)</f>
        <v>0</v>
      </c>
      <c r="AR31" s="84"/>
      <c r="AS31" s="109">
        <f t="shared" si="7"/>
        <v>25</v>
      </c>
      <c r="AT31" s="94">
        <f>IF($AS31&lt;E$4,E$20*E$6*E$11*(1+Overview!$B$53)^-($AS31),0)</f>
        <v>42314.698926998884</v>
      </c>
      <c r="AU31" s="89">
        <f>IF($AS31&lt;F$4,F$20*F$6*F$11*(1+Overview!$B$53)^-($AS31),0)</f>
        <v>21157.349463499442</v>
      </c>
      <c r="AV31" s="89">
        <f>IF($AS31&lt;G$4,G$20*G$6*G$11*(1+Overview!$B$53)^-($AS31),0)</f>
        <v>21157.349463499442</v>
      </c>
      <c r="AW31" s="94">
        <f>IF(E$67=0,IF($AS31&lt;E$4,E$55*(1+Overview!$B$53)^-($AS31),0),IF($AS31&lt;E$4,E$67*(1+Overview!$B$53)^-($AS31),0))</f>
        <v>131788.3751960072</v>
      </c>
      <c r="AX31" s="89">
        <f>IF(F$67=0,IF($AS31&lt;F$4,F$55*(1+Overview!$B$53)^-($AS31),0),IF($AS31&lt;F$4,F$67*(1+Overview!$B$53)^-($AS31),0))</f>
        <v>98841.281397005383</v>
      </c>
      <c r="AY31" s="89">
        <f>IF(G$67=0,IF($AS31&lt;G$4,G$55*(1+Overview!$B$53)^-($AS31),0),IF($AS31&lt;G$4,G$67*(1+Overview!$B$53)^-($AS31),0))</f>
        <v>98841.281397005383</v>
      </c>
      <c r="AZ31" s="89">
        <f>IF(E$68=0,IF($AS31&lt;E$4,E$56*(1+Overview!$B$53)^-($AS31),0),IF($AS31&lt;E$4,E$68*(1+Overview!$B$53)^-($AS31),0))</f>
        <v>0</v>
      </c>
      <c r="BA31" s="89">
        <f>IF(F$68=0,IF($AS31&lt;F$4,F$56*(1+Overview!$B$53)^-($AS31),0),IF($AS31&lt;F$4,F$68*(1+Overview!$B$53)^-($AS31),0))</f>
        <v>0</v>
      </c>
      <c r="BB31" s="89">
        <f>IF(G$68=0,IF($AS31&lt;G$4,G$56*(1+Overview!$B$53)^-($AS31),0),IF($AS31&lt;G$4,G$68*(1+Overview!$B$53)^-($AS31),0))</f>
        <v>0</v>
      </c>
      <c r="BC31" s="89">
        <f>IF(E$69=0,IF($AS31&lt;E$4,E$57*(1+Overview!$B$53)^-($AS31),0),IF($AS31&lt;E$4,E$69*(1+Overview!$B$53)^-($AS31),0))</f>
        <v>0</v>
      </c>
      <c r="BD31" s="89">
        <f>IF(F$69=0,IF($AS31&lt;F$4,F$57*(1+Overview!$B$53)^-($AS31),0),IF($AS31&lt;F$4,F$69*(1+Overview!$B$53)^-($AS31),0))</f>
        <v>0</v>
      </c>
      <c r="BE31" s="95">
        <f>IF(G$69=0,IF($AS31&lt;G$4,G$57*(1+Overview!$B$53)^-($AS31),0),IF($AS31&lt;G$4,G$69*(1+Overview!$B$53)^-($AS31),0))</f>
        <v>0</v>
      </c>
      <c r="BF31" s="1"/>
    </row>
    <row r="32" spans="1:58" x14ac:dyDescent="0.3">
      <c r="A32" s="33"/>
      <c r="B32" s="168" t="s">
        <v>89</v>
      </c>
      <c r="C32" s="185" t="s">
        <v>84</v>
      </c>
      <c r="D32" s="185" t="s">
        <v>90</v>
      </c>
      <c r="E32" s="64">
        <f>(E28/80)*60</f>
        <v>232.5</v>
      </c>
      <c r="F32" s="63">
        <f>(F28/80)*60</f>
        <v>232.5</v>
      </c>
      <c r="G32" s="62">
        <f>(G28/80)*60</f>
        <v>232.5</v>
      </c>
      <c r="H32" s="125" t="s">
        <v>33</v>
      </c>
      <c r="I32" s="70"/>
      <c r="J32" s="70"/>
      <c r="K32" s="139"/>
      <c r="L32" s="103"/>
      <c r="M32" s="101"/>
      <c r="N32" s="101"/>
      <c r="O32" s="101"/>
      <c r="P32" s="146"/>
      <c r="R32" s="118">
        <f t="shared" si="4"/>
        <v>25</v>
      </c>
      <c r="S32" s="94">
        <f t="shared" si="9"/>
        <v>0</v>
      </c>
      <c r="T32" s="89">
        <f t="shared" si="9"/>
        <v>0</v>
      </c>
      <c r="U32" s="95">
        <f t="shared" si="9"/>
        <v>0</v>
      </c>
      <c r="V32" s="94">
        <f t="shared" si="10"/>
        <v>0</v>
      </c>
      <c r="W32" s="89">
        <f t="shared" si="10"/>
        <v>0</v>
      </c>
      <c r="X32" s="95">
        <f t="shared" si="10"/>
        <v>0</v>
      </c>
      <c r="Y32" s="89"/>
      <c r="Z32" s="118">
        <f t="shared" si="5"/>
        <v>26</v>
      </c>
      <c r="AA32" s="94">
        <f t="shared" si="11"/>
        <v>40883.767079225974</v>
      </c>
      <c r="AB32" s="89">
        <f t="shared" si="11"/>
        <v>20441.883539612987</v>
      </c>
      <c r="AC32" s="95">
        <f t="shared" si="11"/>
        <v>20441.883539612987</v>
      </c>
      <c r="AD32" s="94">
        <f t="shared" si="12"/>
        <v>127331.76347440308</v>
      </c>
      <c r="AE32" s="89">
        <f t="shared" si="12"/>
        <v>95498.822605802299</v>
      </c>
      <c r="AF32" s="95">
        <f t="shared" si="12"/>
        <v>95498.822605802299</v>
      </c>
      <c r="AG32" s="84"/>
      <c r="AH32" s="118">
        <f t="shared" si="6"/>
        <v>25</v>
      </c>
      <c r="AI32" s="94">
        <f>IF(E$5*$AH32&lt;E$5*E$14,(E$19*E$6*(1+Overview!$B$53)^-(E$5*$AH32)),0)</f>
        <v>0</v>
      </c>
      <c r="AJ32" s="89">
        <f>IF(F$5*$AH32&lt;F$5*F$14,(F$19*F$6*(1+Overview!$B$53)^-(F$5*$AH32)),0)</f>
        <v>0</v>
      </c>
      <c r="AK32" s="95">
        <f>IF(G$5*$AH32&lt;G$5*G$14,(G$19*G$6*(1+Overview!$B$53)^-(G$5*$AH32)),0)</f>
        <v>0</v>
      </c>
      <c r="AL32" s="94">
        <f>IF($AH32=0,0,IF(E$5*$AH32&lt;=E$5*E$14,(E$22*E$6*(1+Overview!$B$53)^-(E$5*$AH32)),0))</f>
        <v>0</v>
      </c>
      <c r="AM32" s="89">
        <f>IF($AH32=0,0,IF(F$5*$AH32&lt;=F$5*F$14,(F$22*F$6*(1+Overview!$B$53)^-(F$5*$AH32)),0))</f>
        <v>0</v>
      </c>
      <c r="AN32" s="95">
        <f>IF($AH32=0,0,IF(G$5*$AH32&lt;=G$5*G$14,(G$22*G$6*(1+Overview!$B$53)^-(G$5*$AH32)),0))</f>
        <v>0</v>
      </c>
      <c r="AO32" s="94">
        <f>IF(E$16&gt;0,IF($AH31*E$14=E$4,-(E$16/E$5)*E$19*E$6*(1+Overview!$B$53)^-E$4+(E$22*E$6*(1+Overview!$B$53)^-E$4),0),0)</f>
        <v>0</v>
      </c>
      <c r="AP32" s="89">
        <f>IF(F$16&gt;0,IF($AH31*F$14=F$4,-(F$16/F$5)*F$19*F$6*(1+Overview!$B$53)^-F$4+(F$22*F$6*(1+Overview!$B$53)^-F$4),0),0)</f>
        <v>0</v>
      </c>
      <c r="AQ32" s="95">
        <f>IF(G$16&gt;0,IF($AH31*G$14=G$4,-(G$16/G$5)*G$19*G$6*(1+Overview!$B$53)^-G$4+(G$22*G$6*(1+Overview!$B$53)^-G$4),0),0)</f>
        <v>0</v>
      </c>
      <c r="AR32" s="84"/>
      <c r="AS32" s="109">
        <f t="shared" si="7"/>
        <v>26</v>
      </c>
      <c r="AT32" s="94">
        <f>IF($AS32&lt;E$4,E$20*E$6*E$11*(1+Overview!$B$53)^-($AS32),0)</f>
        <v>40883.767079225974</v>
      </c>
      <c r="AU32" s="89">
        <f>IF($AS32&lt;F$4,F$20*F$6*F$11*(1+Overview!$B$53)^-($AS32),0)</f>
        <v>20441.883539612987</v>
      </c>
      <c r="AV32" s="89">
        <f>IF($AS32&lt;G$4,G$20*G$6*G$11*(1+Overview!$B$53)^-($AS32),0)</f>
        <v>20441.883539612987</v>
      </c>
      <c r="AW32" s="94">
        <f>IF(E$67=0,IF($AS32&lt;E$4,E$55*(1+Overview!$B$53)^-($AS32),0),IF($AS32&lt;E$4,E$67*(1+Overview!$B$53)^-($AS32),0))</f>
        <v>127331.76347440308</v>
      </c>
      <c r="AX32" s="89">
        <f>IF(F$67=0,IF($AS32&lt;F$4,F$55*(1+Overview!$B$53)^-($AS32),0),IF($AS32&lt;F$4,F$67*(1+Overview!$B$53)^-($AS32),0))</f>
        <v>95498.822605802299</v>
      </c>
      <c r="AY32" s="89">
        <f>IF(G$67=0,IF($AS32&lt;G$4,G$55*(1+Overview!$B$53)^-($AS32),0),IF($AS32&lt;G$4,G$67*(1+Overview!$B$53)^-($AS32),0))</f>
        <v>95498.822605802299</v>
      </c>
      <c r="AZ32" s="89">
        <f>IF(E$68=0,IF($AS32&lt;E$4,E$56*(1+Overview!$B$53)^-($AS32),0),IF($AS32&lt;E$4,E$68*(1+Overview!$B$53)^-($AS32),0))</f>
        <v>0</v>
      </c>
      <c r="BA32" s="89">
        <f>IF(F$68=0,IF($AS32&lt;F$4,F$56*(1+Overview!$B$53)^-($AS32),0),IF($AS32&lt;F$4,F$68*(1+Overview!$B$53)^-($AS32),0))</f>
        <v>0</v>
      </c>
      <c r="BB32" s="89">
        <f>IF(G$68=0,IF($AS32&lt;G$4,G$56*(1+Overview!$B$53)^-($AS32),0),IF($AS32&lt;G$4,G$68*(1+Overview!$B$53)^-($AS32),0))</f>
        <v>0</v>
      </c>
      <c r="BC32" s="89">
        <f>IF(E$69=0,IF($AS32&lt;E$4,E$57*(1+Overview!$B$53)^-($AS32),0),IF($AS32&lt;E$4,E$69*(1+Overview!$B$53)^-($AS32),0))</f>
        <v>0</v>
      </c>
      <c r="BD32" s="89">
        <f>IF(F$69=0,IF($AS32&lt;F$4,F$57*(1+Overview!$B$53)^-($AS32),0),IF($AS32&lt;F$4,F$69*(1+Overview!$B$53)^-($AS32),0))</f>
        <v>0</v>
      </c>
      <c r="BE32" s="95">
        <f>IF(G$69=0,IF($AS32&lt;G$4,G$57*(1+Overview!$B$53)^-($AS32),0),IF($AS32&lt;G$4,G$69*(1+Overview!$B$53)^-($AS32),0))</f>
        <v>0</v>
      </c>
      <c r="BF32" s="1"/>
    </row>
    <row r="33" spans="1:58" x14ac:dyDescent="0.3">
      <c r="A33" s="33"/>
      <c r="B33" s="168" t="s">
        <v>92</v>
      </c>
      <c r="C33" s="185" t="s">
        <v>86</v>
      </c>
      <c r="D33" s="185" t="s">
        <v>90</v>
      </c>
      <c r="E33" s="64">
        <f t="shared" ref="E33:G34" si="13">(E29/80)*60</f>
        <v>232.5</v>
      </c>
      <c r="F33" s="63">
        <f t="shared" si="13"/>
        <v>232.5</v>
      </c>
      <c r="G33" s="62">
        <f t="shared" si="13"/>
        <v>232.5</v>
      </c>
      <c r="H33" s="125" t="s">
        <v>33</v>
      </c>
      <c r="I33" s="70"/>
      <c r="J33" s="70"/>
      <c r="K33" s="139"/>
      <c r="L33" s="103"/>
      <c r="M33" s="101"/>
      <c r="N33" s="101"/>
      <c r="O33" s="101"/>
      <c r="P33" s="146"/>
      <c r="R33" s="118">
        <f t="shared" si="4"/>
        <v>26</v>
      </c>
      <c r="S33" s="94">
        <f t="shared" si="9"/>
        <v>0</v>
      </c>
      <c r="T33" s="89">
        <f t="shared" si="9"/>
        <v>0</v>
      </c>
      <c r="U33" s="95">
        <f t="shared" si="9"/>
        <v>0</v>
      </c>
      <c r="V33" s="94">
        <f t="shared" si="10"/>
        <v>0</v>
      </c>
      <c r="W33" s="89">
        <f t="shared" si="10"/>
        <v>0</v>
      </c>
      <c r="X33" s="95">
        <f t="shared" si="10"/>
        <v>0</v>
      </c>
      <c r="Y33" s="89"/>
      <c r="Z33" s="118">
        <f t="shared" si="5"/>
        <v>27</v>
      </c>
      <c r="AA33" s="94">
        <f t="shared" si="11"/>
        <v>39501.224231136206</v>
      </c>
      <c r="AB33" s="89">
        <f t="shared" si="11"/>
        <v>19750.612115568103</v>
      </c>
      <c r="AC33" s="95">
        <f t="shared" si="11"/>
        <v>19750.612115568103</v>
      </c>
      <c r="AD33" s="94">
        <f t="shared" si="12"/>
        <v>123025.85842937494</v>
      </c>
      <c r="AE33" s="89">
        <f t="shared" si="12"/>
        <v>92269.393822031212</v>
      </c>
      <c r="AF33" s="95">
        <f t="shared" si="12"/>
        <v>92269.393822031212</v>
      </c>
      <c r="AG33" s="84"/>
      <c r="AH33" s="118">
        <f t="shared" si="6"/>
        <v>26</v>
      </c>
      <c r="AI33" s="94">
        <f>IF(E$5*$AH33&lt;E$5*E$14,(E$19*E$6*(1+Overview!$B$53)^-(E$5*$AH33)),0)</f>
        <v>0</v>
      </c>
      <c r="AJ33" s="89">
        <f>IF(F$5*$AH33&lt;F$5*F$14,(F$19*F$6*(1+Overview!$B$53)^-(F$5*$AH33)),0)</f>
        <v>0</v>
      </c>
      <c r="AK33" s="95">
        <f>IF(G$5*$AH33&lt;G$5*G$14,(G$19*G$6*(1+Overview!$B$53)^-(G$5*$AH33)),0)</f>
        <v>0</v>
      </c>
      <c r="AL33" s="94">
        <f>IF($AH33=0,0,IF(E$5*$AH33&lt;=E$5*E$14,(E$22*E$6*(1+Overview!$B$53)^-(E$5*$AH33)),0))</f>
        <v>0</v>
      </c>
      <c r="AM33" s="89">
        <f>IF($AH33=0,0,IF(F$5*$AH33&lt;=F$5*F$14,(F$22*F$6*(1+Overview!$B$53)^-(F$5*$AH33)),0))</f>
        <v>0</v>
      </c>
      <c r="AN33" s="95">
        <f>IF($AH33=0,0,IF(G$5*$AH33&lt;=G$5*G$14,(G$22*G$6*(1+Overview!$B$53)^-(G$5*$AH33)),0))</f>
        <v>0</v>
      </c>
      <c r="AO33" s="94">
        <f>IF(E$16&gt;0,IF($AH32*E$14=E$4,-(E$16/E$5)*E$19*E$6*(1+Overview!$B$53)^-E$4+(E$22*E$6*(1+Overview!$B$53)^-E$4),0),0)</f>
        <v>0</v>
      </c>
      <c r="AP33" s="89">
        <f>IF(F$16&gt;0,IF($AH32*F$14=F$4,-(F$16/F$5)*F$19*F$6*(1+Overview!$B$53)^-F$4+(F$22*F$6*(1+Overview!$B$53)^-F$4),0),0)</f>
        <v>0</v>
      </c>
      <c r="AQ33" s="95">
        <f>IF(G$16&gt;0,IF($AH32*G$14=G$4,-(G$16/G$5)*G$19*G$6*(1+Overview!$B$53)^-G$4+(G$22*G$6*(1+Overview!$B$53)^-G$4),0),0)</f>
        <v>0</v>
      </c>
      <c r="AR33" s="84"/>
      <c r="AS33" s="109">
        <f t="shared" si="7"/>
        <v>27</v>
      </c>
      <c r="AT33" s="94">
        <f>IF($AS33&lt;E$4,E$20*E$6*E$11*(1+Overview!$B$53)^-($AS33),0)</f>
        <v>39501.224231136206</v>
      </c>
      <c r="AU33" s="89">
        <f>IF($AS33&lt;F$4,F$20*F$6*F$11*(1+Overview!$B$53)^-($AS33),0)</f>
        <v>19750.612115568103</v>
      </c>
      <c r="AV33" s="89">
        <f>IF($AS33&lt;G$4,G$20*G$6*G$11*(1+Overview!$B$53)^-($AS33),0)</f>
        <v>19750.612115568103</v>
      </c>
      <c r="AW33" s="94">
        <f>IF(E$67=0,IF($AS33&lt;E$4,E$55*(1+Overview!$B$53)^-($AS33),0),IF($AS33&lt;E$4,E$67*(1+Overview!$B$53)^-($AS33),0))</f>
        <v>123025.85842937494</v>
      </c>
      <c r="AX33" s="89">
        <f>IF(F$67=0,IF($AS33&lt;F$4,F$55*(1+Overview!$B$53)^-($AS33),0),IF($AS33&lt;F$4,F$67*(1+Overview!$B$53)^-($AS33),0))</f>
        <v>92269.393822031212</v>
      </c>
      <c r="AY33" s="89">
        <f>IF(G$67=0,IF($AS33&lt;G$4,G$55*(1+Overview!$B$53)^-($AS33),0),IF($AS33&lt;G$4,G$67*(1+Overview!$B$53)^-($AS33),0))</f>
        <v>92269.393822031212</v>
      </c>
      <c r="AZ33" s="89">
        <f>IF(E$68=0,IF($AS33&lt;E$4,E$56*(1+Overview!$B$53)^-($AS33),0),IF($AS33&lt;E$4,E$68*(1+Overview!$B$53)^-($AS33),0))</f>
        <v>0</v>
      </c>
      <c r="BA33" s="89">
        <f>IF(F$68=0,IF($AS33&lt;F$4,F$56*(1+Overview!$B$53)^-($AS33),0),IF($AS33&lt;F$4,F$68*(1+Overview!$B$53)^-($AS33),0))</f>
        <v>0</v>
      </c>
      <c r="BB33" s="89">
        <f>IF(G$68=0,IF($AS33&lt;G$4,G$56*(1+Overview!$B$53)^-($AS33),0),IF($AS33&lt;G$4,G$68*(1+Overview!$B$53)^-($AS33),0))</f>
        <v>0</v>
      </c>
      <c r="BC33" s="89">
        <f>IF(E$69=0,IF($AS33&lt;E$4,E$57*(1+Overview!$B$53)^-($AS33),0),IF($AS33&lt;E$4,E$69*(1+Overview!$B$53)^-($AS33),0))</f>
        <v>0</v>
      </c>
      <c r="BD33" s="89">
        <f>IF(F$69=0,IF($AS33&lt;F$4,F$57*(1+Overview!$B$53)^-($AS33),0),IF($AS33&lt;F$4,F$69*(1+Overview!$B$53)^-($AS33),0))</f>
        <v>0</v>
      </c>
      <c r="BE33" s="95">
        <f>IF(G$69=0,IF($AS33&lt;G$4,G$57*(1+Overview!$B$53)^-($AS33),0),IF($AS33&lt;G$4,G$69*(1+Overview!$B$53)^-($AS33),0))</f>
        <v>0</v>
      </c>
      <c r="BF33" s="1"/>
    </row>
    <row r="34" spans="1:58" x14ac:dyDescent="0.3">
      <c r="A34" s="33"/>
      <c r="B34" s="33"/>
      <c r="C34" s="185" t="s">
        <v>87</v>
      </c>
      <c r="D34" s="185" t="s">
        <v>90</v>
      </c>
      <c r="E34" s="64">
        <f t="shared" si="13"/>
        <v>232.5</v>
      </c>
      <c r="F34" s="63">
        <f t="shared" si="13"/>
        <v>232.5</v>
      </c>
      <c r="G34" s="62">
        <f t="shared" si="13"/>
        <v>232.5</v>
      </c>
      <c r="H34" s="125" t="s">
        <v>33</v>
      </c>
      <c r="I34" s="70"/>
      <c r="J34" s="70"/>
      <c r="K34" s="139"/>
      <c r="L34" s="103"/>
      <c r="M34" s="101"/>
      <c r="N34" s="101"/>
      <c r="O34" s="101"/>
      <c r="P34" s="146"/>
      <c r="R34" s="118">
        <f t="shared" si="4"/>
        <v>27</v>
      </c>
      <c r="S34" s="94">
        <f t="shared" si="9"/>
        <v>0</v>
      </c>
      <c r="T34" s="89">
        <f t="shared" si="9"/>
        <v>0</v>
      </c>
      <c r="U34" s="95">
        <f t="shared" si="9"/>
        <v>0</v>
      </c>
      <c r="V34" s="94">
        <f t="shared" si="10"/>
        <v>0</v>
      </c>
      <c r="W34" s="89">
        <f t="shared" si="10"/>
        <v>0</v>
      </c>
      <c r="X34" s="95">
        <f t="shared" si="10"/>
        <v>0</v>
      </c>
      <c r="Y34" s="89"/>
      <c r="Z34" s="118">
        <f t="shared" si="5"/>
        <v>28</v>
      </c>
      <c r="AA34" s="94">
        <f t="shared" si="11"/>
        <v>38165.434039745131</v>
      </c>
      <c r="AB34" s="89">
        <f t="shared" si="11"/>
        <v>19082.717019872565</v>
      </c>
      <c r="AC34" s="95">
        <f t="shared" si="11"/>
        <v>19082.717019872565</v>
      </c>
      <c r="AD34" s="94">
        <f t="shared" si="12"/>
        <v>118865.56369987919</v>
      </c>
      <c r="AE34" s="89">
        <f t="shared" si="12"/>
        <v>89149.172774909384</v>
      </c>
      <c r="AF34" s="95">
        <f t="shared" si="12"/>
        <v>89149.172774909384</v>
      </c>
      <c r="AG34" s="84"/>
      <c r="AH34" s="118">
        <f t="shared" si="6"/>
        <v>27</v>
      </c>
      <c r="AI34" s="94">
        <f>IF(E$5*$AH34&lt;E$5*E$14,(E$19*E$6*(1+Overview!$B$53)^-(E$5*$AH34)),0)</f>
        <v>0</v>
      </c>
      <c r="AJ34" s="89">
        <f>IF(F$5*$AH34&lt;F$5*F$14,(F$19*F$6*(1+Overview!$B$53)^-(F$5*$AH34)),0)</f>
        <v>0</v>
      </c>
      <c r="AK34" s="95">
        <f>IF(G$5*$AH34&lt;G$5*G$14,(G$19*G$6*(1+Overview!$B$53)^-(G$5*$AH34)),0)</f>
        <v>0</v>
      </c>
      <c r="AL34" s="94">
        <f>IF($AH34=0,0,IF(E$5*$AH34&lt;=E$5*E$14,(E$22*E$6*(1+Overview!$B$53)^-(E$5*$AH34)),0))</f>
        <v>0</v>
      </c>
      <c r="AM34" s="89">
        <f>IF($AH34=0,0,IF(F$5*$AH34&lt;=F$5*F$14,(F$22*F$6*(1+Overview!$B$53)^-(F$5*$AH34)),0))</f>
        <v>0</v>
      </c>
      <c r="AN34" s="95">
        <f>IF($AH34=0,0,IF(G$5*$AH34&lt;=G$5*G$14,(G$22*G$6*(1+Overview!$B$53)^-(G$5*$AH34)),0))</f>
        <v>0</v>
      </c>
      <c r="AO34" s="94">
        <f>IF(E$16&gt;0,IF($AH33*E$14=E$4,-(E$16/E$5)*E$19*E$6*(1+Overview!$B$53)^-E$4+(E$22*E$6*(1+Overview!$B$53)^-E$4),0),0)</f>
        <v>0</v>
      </c>
      <c r="AP34" s="89">
        <f>IF(F$16&gt;0,IF($AH33*F$14=F$4,-(F$16/F$5)*F$19*F$6*(1+Overview!$B$53)^-F$4+(F$22*F$6*(1+Overview!$B$53)^-F$4),0),0)</f>
        <v>0</v>
      </c>
      <c r="AQ34" s="95">
        <f>IF(G$16&gt;0,IF($AH33*G$14=G$4,-(G$16/G$5)*G$19*G$6*(1+Overview!$B$53)^-G$4+(G$22*G$6*(1+Overview!$B$53)^-G$4),0),0)</f>
        <v>0</v>
      </c>
      <c r="AR34" s="84"/>
      <c r="AS34" s="109">
        <f t="shared" si="7"/>
        <v>28</v>
      </c>
      <c r="AT34" s="94">
        <f>IF($AS34&lt;E$4,E$20*E$6*E$11*(1+Overview!$B$53)^-($AS34),0)</f>
        <v>38165.434039745131</v>
      </c>
      <c r="AU34" s="89">
        <f>IF($AS34&lt;F$4,F$20*F$6*F$11*(1+Overview!$B$53)^-($AS34),0)</f>
        <v>19082.717019872565</v>
      </c>
      <c r="AV34" s="89">
        <f>IF($AS34&lt;G$4,G$20*G$6*G$11*(1+Overview!$B$53)^-($AS34),0)</f>
        <v>19082.717019872565</v>
      </c>
      <c r="AW34" s="94">
        <f>IF(E$67=0,IF($AS34&lt;E$4,E$55*(1+Overview!$B$53)^-($AS34),0),IF($AS34&lt;E$4,E$67*(1+Overview!$B$53)^-($AS34),0))</f>
        <v>118865.56369987919</v>
      </c>
      <c r="AX34" s="89">
        <f>IF(F$67=0,IF($AS34&lt;F$4,F$55*(1+Overview!$B$53)^-($AS34),0),IF($AS34&lt;F$4,F$67*(1+Overview!$B$53)^-($AS34),0))</f>
        <v>89149.172774909384</v>
      </c>
      <c r="AY34" s="89">
        <f>IF(G$67=0,IF($AS34&lt;G$4,G$55*(1+Overview!$B$53)^-($AS34),0),IF($AS34&lt;G$4,G$67*(1+Overview!$B$53)^-($AS34),0))</f>
        <v>89149.172774909384</v>
      </c>
      <c r="AZ34" s="89">
        <f>IF(E$68=0,IF($AS34&lt;E$4,E$56*(1+Overview!$B$53)^-($AS34),0),IF($AS34&lt;E$4,E$68*(1+Overview!$B$53)^-($AS34),0))</f>
        <v>0</v>
      </c>
      <c r="BA34" s="89">
        <f>IF(F$68=0,IF($AS34&lt;F$4,F$56*(1+Overview!$B$53)^-($AS34),0),IF($AS34&lt;F$4,F$68*(1+Overview!$B$53)^-($AS34),0))</f>
        <v>0</v>
      </c>
      <c r="BB34" s="89">
        <f>IF(G$68=0,IF($AS34&lt;G$4,G$56*(1+Overview!$B$53)^-($AS34),0),IF($AS34&lt;G$4,G$68*(1+Overview!$B$53)^-($AS34),0))</f>
        <v>0</v>
      </c>
      <c r="BC34" s="89">
        <f>IF(E$69=0,IF($AS34&lt;E$4,E$57*(1+Overview!$B$53)^-($AS34),0),IF($AS34&lt;E$4,E$69*(1+Overview!$B$53)^-($AS34),0))</f>
        <v>0</v>
      </c>
      <c r="BD34" s="89">
        <f>IF(F$69=0,IF($AS34&lt;F$4,F$57*(1+Overview!$B$53)^-($AS34),0),IF($AS34&lt;F$4,F$69*(1+Overview!$B$53)^-($AS34),0))</f>
        <v>0</v>
      </c>
      <c r="BE34" s="95">
        <f>IF(G$69=0,IF($AS34&lt;G$4,G$57*(1+Overview!$B$53)^-($AS34),0),IF($AS34&lt;G$4,G$69*(1+Overview!$B$53)^-($AS34),0))</f>
        <v>0</v>
      </c>
      <c r="BF34" s="1"/>
    </row>
    <row r="35" spans="1:58" x14ac:dyDescent="0.3">
      <c r="A35" s="33"/>
      <c r="B35" s="33"/>
      <c r="C35" s="33"/>
      <c r="D35" s="33"/>
      <c r="H35" s="33"/>
      <c r="I35" s="70"/>
      <c r="J35" s="70"/>
      <c r="K35" s="139"/>
      <c r="L35" s="103"/>
      <c r="M35" s="101"/>
      <c r="N35" s="101"/>
      <c r="O35" s="101"/>
      <c r="P35" s="146"/>
      <c r="R35" s="118">
        <f t="shared" si="4"/>
        <v>28</v>
      </c>
      <c r="S35" s="94">
        <f t="shared" si="9"/>
        <v>0</v>
      </c>
      <c r="T35" s="89">
        <f t="shared" si="9"/>
        <v>0</v>
      </c>
      <c r="U35" s="95">
        <f t="shared" si="9"/>
        <v>0</v>
      </c>
      <c r="V35" s="94">
        <f t="shared" si="10"/>
        <v>0</v>
      </c>
      <c r="W35" s="89">
        <f t="shared" si="10"/>
        <v>0</v>
      </c>
      <c r="X35" s="95">
        <f t="shared" si="10"/>
        <v>0</v>
      </c>
      <c r="Y35" s="89"/>
      <c r="Z35" s="118">
        <f t="shared" si="5"/>
        <v>29</v>
      </c>
      <c r="AA35" s="94">
        <f t="shared" si="11"/>
        <v>36874.815497338299</v>
      </c>
      <c r="AB35" s="89">
        <f t="shared" si="11"/>
        <v>18437.407748669149</v>
      </c>
      <c r="AC35" s="95">
        <f t="shared" si="11"/>
        <v>18437.407748669149</v>
      </c>
      <c r="AD35" s="94">
        <f t="shared" si="12"/>
        <v>114845.95526558379</v>
      </c>
      <c r="AE35" s="89">
        <f t="shared" si="12"/>
        <v>86134.466449187836</v>
      </c>
      <c r="AF35" s="95">
        <f t="shared" si="12"/>
        <v>86134.466449187836</v>
      </c>
      <c r="AG35" s="84"/>
      <c r="AH35" s="118">
        <f t="shared" si="6"/>
        <v>28</v>
      </c>
      <c r="AI35" s="94">
        <f>IF(E$5*$AH35&lt;E$5*E$14,(E$19*E$6*(1+Overview!$B$53)^-(E$5*$AH35)),0)</f>
        <v>0</v>
      </c>
      <c r="AJ35" s="89">
        <f>IF(F$5*$AH35&lt;F$5*F$14,(F$19*F$6*(1+Overview!$B$53)^-(F$5*$AH35)),0)</f>
        <v>0</v>
      </c>
      <c r="AK35" s="95">
        <f>IF(G$5*$AH35&lt;G$5*G$14,(G$19*G$6*(1+Overview!$B$53)^-(G$5*$AH35)),0)</f>
        <v>0</v>
      </c>
      <c r="AL35" s="94">
        <f>IF($AH35=0,0,IF(E$5*$AH35&lt;=E$5*E$14,(E$22*E$6*(1+Overview!$B$53)^-(E$5*$AH35)),0))</f>
        <v>0</v>
      </c>
      <c r="AM35" s="89">
        <f>IF($AH35=0,0,IF(F$5*$AH35&lt;=F$5*F$14,(F$22*F$6*(1+Overview!$B$53)^-(F$5*$AH35)),0))</f>
        <v>0</v>
      </c>
      <c r="AN35" s="95">
        <f>IF($AH35=0,0,IF(G$5*$AH35&lt;=G$5*G$14,(G$22*G$6*(1+Overview!$B$53)^-(G$5*$AH35)),0))</f>
        <v>0</v>
      </c>
      <c r="AO35" s="94">
        <f>IF(E$16&gt;0,IF($AH34*E$14=E$4,-(E$16/E$5)*E$19*E$6*(1+Overview!$B$53)^-E$4+(E$22*E$6*(1+Overview!$B$53)^-E$4),0),0)</f>
        <v>0</v>
      </c>
      <c r="AP35" s="89">
        <f>IF(F$16&gt;0,IF($AH34*F$14=F$4,-(F$16/F$5)*F$19*F$6*(1+Overview!$B$53)^-F$4+(F$22*F$6*(1+Overview!$B$53)^-F$4),0),0)</f>
        <v>0</v>
      </c>
      <c r="AQ35" s="95">
        <f>IF(G$16&gt;0,IF($AH34*G$14=G$4,-(G$16/G$5)*G$19*G$6*(1+Overview!$B$53)^-G$4+(G$22*G$6*(1+Overview!$B$53)^-G$4),0),0)</f>
        <v>0</v>
      </c>
      <c r="AR35" s="84"/>
      <c r="AS35" s="109">
        <f t="shared" si="7"/>
        <v>29</v>
      </c>
      <c r="AT35" s="94">
        <f>IF($AS35&lt;E$4,E$20*E$6*E$11*(1+Overview!$B$53)^-($AS35),0)</f>
        <v>36874.815497338299</v>
      </c>
      <c r="AU35" s="89">
        <f>IF($AS35&lt;F$4,F$20*F$6*F$11*(1+Overview!$B$53)^-($AS35),0)</f>
        <v>18437.407748669149</v>
      </c>
      <c r="AV35" s="89">
        <f>IF($AS35&lt;G$4,G$20*G$6*G$11*(1+Overview!$B$53)^-($AS35),0)</f>
        <v>18437.407748669149</v>
      </c>
      <c r="AW35" s="94">
        <f>IF(E$67=0,IF($AS35&lt;E$4,E$55*(1+Overview!$B$53)^-($AS35),0),IF($AS35&lt;E$4,E$67*(1+Overview!$B$53)^-($AS35),0))</f>
        <v>114845.95526558379</v>
      </c>
      <c r="AX35" s="89">
        <f>IF(F$67=0,IF($AS35&lt;F$4,F$55*(1+Overview!$B$53)^-($AS35),0),IF($AS35&lt;F$4,F$67*(1+Overview!$B$53)^-($AS35),0))</f>
        <v>86134.466449187836</v>
      </c>
      <c r="AY35" s="89">
        <f>IF(G$67=0,IF($AS35&lt;G$4,G$55*(1+Overview!$B$53)^-($AS35),0),IF($AS35&lt;G$4,G$67*(1+Overview!$B$53)^-($AS35),0))</f>
        <v>86134.466449187836</v>
      </c>
      <c r="AZ35" s="89">
        <f>IF(E$68=0,IF($AS35&lt;E$4,E$56*(1+Overview!$B$53)^-($AS35),0),IF($AS35&lt;E$4,E$68*(1+Overview!$B$53)^-($AS35),0))</f>
        <v>0</v>
      </c>
      <c r="BA35" s="89">
        <f>IF(F$68=0,IF($AS35&lt;F$4,F$56*(1+Overview!$B$53)^-($AS35),0),IF($AS35&lt;F$4,F$68*(1+Overview!$B$53)^-($AS35),0))</f>
        <v>0</v>
      </c>
      <c r="BB35" s="89">
        <f>IF(G$68=0,IF($AS35&lt;G$4,G$56*(1+Overview!$B$53)^-($AS35),0),IF($AS35&lt;G$4,G$68*(1+Overview!$B$53)^-($AS35),0))</f>
        <v>0</v>
      </c>
      <c r="BC35" s="89">
        <f>IF(E$69=0,IF($AS35&lt;E$4,E$57*(1+Overview!$B$53)^-($AS35),0),IF($AS35&lt;E$4,E$69*(1+Overview!$B$53)^-($AS35),0))</f>
        <v>0</v>
      </c>
      <c r="BD35" s="89">
        <f>IF(F$69=0,IF($AS35&lt;F$4,F$57*(1+Overview!$B$53)^-($AS35),0),IF($AS35&lt;F$4,F$69*(1+Overview!$B$53)^-($AS35),0))</f>
        <v>0</v>
      </c>
      <c r="BE35" s="95">
        <f>IF(G$69=0,IF($AS35&lt;G$4,G$57*(1+Overview!$B$53)^-($AS35),0),IF($AS35&lt;G$4,G$69*(1+Overview!$B$53)^-($AS35),0))</f>
        <v>0</v>
      </c>
      <c r="BF35" s="1"/>
    </row>
    <row r="36" spans="1:58" x14ac:dyDescent="0.3">
      <c r="A36" s="33"/>
      <c r="B36" s="188" t="s">
        <v>96</v>
      </c>
      <c r="C36" s="189" t="s">
        <v>84</v>
      </c>
      <c r="D36" s="189" t="s">
        <v>90</v>
      </c>
      <c r="E36" s="201">
        <f>((VLOOKUP(Overview!$B$45,'Train disturbance parameters'!$B$6:$H$24,6,FALSE)/100)+1)*((VLOOKUP(Overview!$B$45,'Train disturbance parameters'!$B$6:$H$24,7,FALSE)/100)+1)*E32</f>
        <v>320.15250000000003</v>
      </c>
      <c r="F36" s="202">
        <f>((VLOOKUP(Overview!$B$45,'Train disturbance parameters'!$B$6:$H$24,6,FALSE)/100)+1)*((VLOOKUP(Overview!$B$45,'Train disturbance parameters'!$B$6:$H$24,7,FALSE)/100)+1)*F32</f>
        <v>320.15250000000003</v>
      </c>
      <c r="G36" s="203">
        <f>((VLOOKUP(Overview!$B$45,'Train disturbance parameters'!$B$6:$H$24,6,FALSE)/100)+1)*((VLOOKUP(Overview!$B$45,'Train disturbance parameters'!$B$6:$H$24,7,FALSE)/100)+1)*G32</f>
        <v>320.15250000000003</v>
      </c>
      <c r="H36" s="194" t="s">
        <v>60</v>
      </c>
      <c r="I36" s="70"/>
      <c r="J36" s="70"/>
      <c r="K36" s="139"/>
      <c r="L36" s="103"/>
      <c r="M36" s="101"/>
      <c r="N36" s="101"/>
      <c r="O36" s="101"/>
      <c r="P36" s="146"/>
      <c r="R36" s="118">
        <f t="shared" si="4"/>
        <v>29</v>
      </c>
      <c r="S36" s="94">
        <f t="shared" si="9"/>
        <v>0</v>
      </c>
      <c r="T36" s="89">
        <f t="shared" si="9"/>
        <v>0</v>
      </c>
      <c r="U36" s="95">
        <f t="shared" si="9"/>
        <v>0</v>
      </c>
      <c r="V36" s="94">
        <f t="shared" si="10"/>
        <v>0</v>
      </c>
      <c r="W36" s="89">
        <f t="shared" si="10"/>
        <v>0</v>
      </c>
      <c r="X36" s="95">
        <f t="shared" si="10"/>
        <v>0</v>
      </c>
      <c r="Y36" s="89"/>
      <c r="Z36" s="118">
        <f t="shared" si="5"/>
        <v>30</v>
      </c>
      <c r="AA36" s="94">
        <f t="shared" si="11"/>
        <v>35627.841060230239</v>
      </c>
      <c r="AB36" s="89">
        <f t="shared" si="11"/>
        <v>17813.92053011512</v>
      </c>
      <c r="AC36" s="95">
        <f t="shared" si="11"/>
        <v>17813.92053011512</v>
      </c>
      <c r="AD36" s="94">
        <f t="shared" si="12"/>
        <v>110962.27561892151</v>
      </c>
      <c r="AE36" s="89">
        <f t="shared" si="12"/>
        <v>83221.706714191139</v>
      </c>
      <c r="AF36" s="95">
        <f t="shared" si="12"/>
        <v>83221.706714191139</v>
      </c>
      <c r="AG36" s="84"/>
      <c r="AH36" s="118">
        <f t="shared" si="6"/>
        <v>29</v>
      </c>
      <c r="AI36" s="94">
        <f>IF(E$5*$AH36&lt;E$5*E$14,(E$19*E$6*(1+Overview!$B$53)^-(E$5*$AH36)),0)</f>
        <v>0</v>
      </c>
      <c r="AJ36" s="89">
        <f>IF(F$5*$AH36&lt;F$5*F$14,(F$19*F$6*(1+Overview!$B$53)^-(F$5*$AH36)),0)</f>
        <v>0</v>
      </c>
      <c r="AK36" s="95">
        <f>IF(G$5*$AH36&lt;G$5*G$14,(G$19*G$6*(1+Overview!$B$53)^-(G$5*$AH36)),0)</f>
        <v>0</v>
      </c>
      <c r="AL36" s="94">
        <f>IF($AH36=0,0,IF(E$5*$AH36&lt;=E$5*E$14,(E$22*E$6*(1+Overview!$B$53)^-(E$5*$AH36)),0))</f>
        <v>0</v>
      </c>
      <c r="AM36" s="89">
        <f>IF($AH36=0,0,IF(F$5*$AH36&lt;=F$5*F$14,(F$22*F$6*(1+Overview!$B$53)^-(F$5*$AH36)),0))</f>
        <v>0</v>
      </c>
      <c r="AN36" s="95">
        <f>IF($AH36=0,0,IF(G$5*$AH36&lt;=G$5*G$14,(G$22*G$6*(1+Overview!$B$53)^-(G$5*$AH36)),0))</f>
        <v>0</v>
      </c>
      <c r="AO36" s="94">
        <f>IF(E$16&gt;0,IF($AH35*E$14=E$4,-(E$16/E$5)*E$19*E$6*(1+Overview!$B$53)^-E$4+(E$22*E$6*(1+Overview!$B$53)^-E$4),0),0)</f>
        <v>0</v>
      </c>
      <c r="AP36" s="89">
        <f>IF(F$16&gt;0,IF($AH35*F$14=F$4,-(F$16/F$5)*F$19*F$6*(1+Overview!$B$53)^-F$4+(F$22*F$6*(1+Overview!$B$53)^-F$4),0),0)</f>
        <v>0</v>
      </c>
      <c r="AQ36" s="95">
        <f>IF(G$16&gt;0,IF($AH35*G$14=G$4,-(G$16/G$5)*G$19*G$6*(1+Overview!$B$53)^-G$4+(G$22*G$6*(1+Overview!$B$53)^-G$4),0),0)</f>
        <v>0</v>
      </c>
      <c r="AR36" s="84"/>
      <c r="AS36" s="109">
        <f t="shared" si="7"/>
        <v>30</v>
      </c>
      <c r="AT36" s="94">
        <f>IF($AS36&lt;E$4,E$20*E$6*E$11*(1+Overview!$B$53)^-($AS36),0)</f>
        <v>35627.841060230239</v>
      </c>
      <c r="AU36" s="89">
        <f>IF($AS36&lt;F$4,F$20*F$6*F$11*(1+Overview!$B$53)^-($AS36),0)</f>
        <v>17813.92053011512</v>
      </c>
      <c r="AV36" s="89">
        <f>IF($AS36&lt;G$4,G$20*G$6*G$11*(1+Overview!$B$53)^-($AS36),0)</f>
        <v>17813.92053011512</v>
      </c>
      <c r="AW36" s="94">
        <f>IF(E$67=0,IF($AS36&lt;E$4,E$55*(1+Overview!$B$53)^-($AS36),0),IF($AS36&lt;E$4,E$67*(1+Overview!$B$53)^-($AS36),0))</f>
        <v>110962.27561892151</v>
      </c>
      <c r="AX36" s="89">
        <f>IF(F$67=0,IF($AS36&lt;F$4,F$55*(1+Overview!$B$53)^-($AS36),0),IF($AS36&lt;F$4,F$67*(1+Overview!$B$53)^-($AS36),0))</f>
        <v>83221.706714191139</v>
      </c>
      <c r="AY36" s="89">
        <f>IF(G$67=0,IF($AS36&lt;G$4,G$55*(1+Overview!$B$53)^-($AS36),0),IF($AS36&lt;G$4,G$67*(1+Overview!$B$53)^-($AS36),0))</f>
        <v>83221.706714191139</v>
      </c>
      <c r="AZ36" s="89">
        <f>IF(E$68=0,IF($AS36&lt;E$4,E$56*(1+Overview!$B$53)^-($AS36),0),IF($AS36&lt;E$4,E$68*(1+Overview!$B$53)^-($AS36),0))</f>
        <v>0</v>
      </c>
      <c r="BA36" s="89">
        <f>IF(F$68=0,IF($AS36&lt;F$4,F$56*(1+Overview!$B$53)^-($AS36),0),IF($AS36&lt;F$4,F$68*(1+Overview!$B$53)^-($AS36),0))</f>
        <v>0</v>
      </c>
      <c r="BB36" s="89">
        <f>IF(G$68=0,IF($AS36&lt;G$4,G$56*(1+Overview!$B$53)^-($AS36),0),IF($AS36&lt;G$4,G$68*(1+Overview!$B$53)^-($AS36),0))</f>
        <v>0</v>
      </c>
      <c r="BC36" s="89">
        <f>IF(E$69=0,IF($AS36&lt;E$4,E$57*(1+Overview!$B$53)^-($AS36),0),IF($AS36&lt;E$4,E$69*(1+Overview!$B$53)^-($AS36),0))</f>
        <v>0</v>
      </c>
      <c r="BD36" s="89">
        <f>IF(F$69=0,IF($AS36&lt;F$4,F$57*(1+Overview!$B$53)^-($AS36),0),IF($AS36&lt;F$4,F$69*(1+Overview!$B$53)^-($AS36),0))</f>
        <v>0</v>
      </c>
      <c r="BE36" s="95">
        <f>IF(G$69=0,IF($AS36&lt;G$4,G$57*(1+Overview!$B$53)^-($AS36),0),IF($AS36&lt;G$4,G$69*(1+Overview!$B$53)^-($AS36),0))</f>
        <v>0</v>
      </c>
      <c r="BF36" s="1"/>
    </row>
    <row r="37" spans="1:58" x14ac:dyDescent="0.3">
      <c r="A37" s="33"/>
      <c r="B37" s="189"/>
      <c r="C37" s="189" t="s">
        <v>86</v>
      </c>
      <c r="D37" s="189" t="s">
        <v>90</v>
      </c>
      <c r="E37" s="201">
        <f>((VLOOKUP(Overview!$B$47,'Train disturbance parameters'!$B$6:$H$24,6,FALSE)/100)+1)*((VLOOKUP(Overview!$B$47,'Train disturbance parameters'!$B$6:$H$24,7,FALSE)/100)+1)*E33</f>
        <v>320.15250000000003</v>
      </c>
      <c r="F37" s="202">
        <f>((VLOOKUP(Overview!$B$47,'Train disturbance parameters'!$B$6:$H$24,6,FALSE)/100)+1)*((VLOOKUP(Overview!$B$47,'Train disturbance parameters'!$B$6:$H$24,7,FALSE)/100)+1)*F33</f>
        <v>320.15250000000003</v>
      </c>
      <c r="G37" s="203">
        <f>((VLOOKUP(Overview!$B$47,'Train disturbance parameters'!$B$6:$H$24,6,FALSE)/100)+1)*((VLOOKUP(Overview!$B$47,'Train disturbance parameters'!$B$6:$H$24,7,FALSE)/100)+1)*G33</f>
        <v>320.15250000000003</v>
      </c>
      <c r="H37" s="194" t="s">
        <v>60</v>
      </c>
      <c r="I37" s="70"/>
      <c r="J37" s="70"/>
      <c r="K37" s="139"/>
      <c r="L37" s="33"/>
      <c r="M37" s="101"/>
      <c r="N37" s="101"/>
      <c r="O37" s="101"/>
      <c r="P37" s="146"/>
      <c r="R37" s="118">
        <f t="shared" si="4"/>
        <v>30</v>
      </c>
      <c r="S37" s="94">
        <f t="shared" si="9"/>
        <v>0</v>
      </c>
      <c r="T37" s="89">
        <f t="shared" si="9"/>
        <v>0</v>
      </c>
      <c r="U37" s="95">
        <f t="shared" si="9"/>
        <v>0</v>
      </c>
      <c r="V37" s="94">
        <f t="shared" si="10"/>
        <v>0</v>
      </c>
      <c r="W37" s="89">
        <f t="shared" si="10"/>
        <v>0</v>
      </c>
      <c r="X37" s="95">
        <f t="shared" si="10"/>
        <v>0</v>
      </c>
      <c r="Y37" s="89"/>
      <c r="Z37" s="118">
        <f t="shared" si="5"/>
        <v>31</v>
      </c>
      <c r="AA37" s="94">
        <f t="shared" si="11"/>
        <v>34423.03484080216</v>
      </c>
      <c r="AB37" s="89">
        <f t="shared" si="11"/>
        <v>17211.51742040108</v>
      </c>
      <c r="AC37" s="95">
        <f t="shared" si="11"/>
        <v>17211.51742040108</v>
      </c>
      <c r="AD37" s="94">
        <f t="shared" si="12"/>
        <v>107209.92813422369</v>
      </c>
      <c r="AE37" s="89">
        <f t="shared" si="12"/>
        <v>80407.446100667774</v>
      </c>
      <c r="AF37" s="95">
        <f t="shared" si="12"/>
        <v>80407.446100667774</v>
      </c>
      <c r="AG37" s="84"/>
      <c r="AH37" s="118">
        <f t="shared" si="6"/>
        <v>30</v>
      </c>
      <c r="AI37" s="94">
        <f>IF(E$5*$AH37&lt;E$5*E$14,(E$19*E$6*(1+Overview!$B$53)^-(E$5*$AH37)),0)</f>
        <v>0</v>
      </c>
      <c r="AJ37" s="89">
        <f>IF(F$5*$AH37&lt;F$5*F$14,(F$19*F$6*(1+Overview!$B$53)^-(F$5*$AH37)),0)</f>
        <v>0</v>
      </c>
      <c r="AK37" s="95">
        <f>IF(G$5*$AH37&lt;G$5*G$14,(G$19*G$6*(1+Overview!$B$53)^-(G$5*$AH37)),0)</f>
        <v>0</v>
      </c>
      <c r="AL37" s="94">
        <f>IF($AH37=0,0,IF(E$5*$AH37&lt;=E$5*E$14,(E$22*E$6*(1+Overview!$B$53)^-(E$5*$AH37)),0))</f>
        <v>0</v>
      </c>
      <c r="AM37" s="89">
        <f>IF($AH37=0,0,IF(F$5*$AH37&lt;=F$5*F$14,(F$22*F$6*(1+Overview!$B$53)^-(F$5*$AH37)),0))</f>
        <v>0</v>
      </c>
      <c r="AN37" s="95">
        <f>IF($AH37=0,0,IF(G$5*$AH37&lt;=G$5*G$14,(G$22*G$6*(1+Overview!$B$53)^-(G$5*$AH37)),0))</f>
        <v>0</v>
      </c>
      <c r="AO37" s="94">
        <f>IF(E$16&gt;0,IF($AH36*E$14=E$4,-(E$16/E$5)*E$19*E$6*(1+Overview!$B$53)^-E$4+(E$22*E$6*(1+Overview!$B$53)^-E$4),0),0)</f>
        <v>0</v>
      </c>
      <c r="AP37" s="89">
        <f>IF(F$16&gt;0,IF($AH36*F$14=F$4,-(F$16/F$5)*F$19*F$6*(1+Overview!$B$53)^-F$4+(F$22*F$6*(1+Overview!$B$53)^-F$4),0),0)</f>
        <v>0</v>
      </c>
      <c r="AQ37" s="95">
        <f>IF(G$16&gt;0,IF($AH36*G$14=G$4,-(G$16/G$5)*G$19*G$6*(1+Overview!$B$53)^-G$4+(G$22*G$6*(1+Overview!$B$53)^-G$4),0),0)</f>
        <v>0</v>
      </c>
      <c r="AR37" s="84"/>
      <c r="AS37" s="109">
        <f t="shared" si="7"/>
        <v>31</v>
      </c>
      <c r="AT37" s="94">
        <f>IF($AS37&lt;E$4,E$20*E$6*E$11*(1+Overview!$B$53)^-($AS37),0)</f>
        <v>34423.03484080216</v>
      </c>
      <c r="AU37" s="89">
        <f>IF($AS37&lt;F$4,F$20*F$6*F$11*(1+Overview!$B$53)^-($AS37),0)</f>
        <v>17211.51742040108</v>
      </c>
      <c r="AV37" s="89">
        <f>IF($AS37&lt;G$4,G$20*G$6*G$11*(1+Overview!$B$53)^-($AS37),0)</f>
        <v>17211.51742040108</v>
      </c>
      <c r="AW37" s="94">
        <f>IF(E$67=0,IF($AS37&lt;E$4,E$55*(1+Overview!$B$53)^-($AS37),0),IF($AS37&lt;E$4,E$67*(1+Overview!$B$53)^-($AS37),0))</f>
        <v>107209.92813422369</v>
      </c>
      <c r="AX37" s="89">
        <f>IF(F$67=0,IF($AS37&lt;F$4,F$55*(1+Overview!$B$53)^-($AS37),0),IF($AS37&lt;F$4,F$67*(1+Overview!$B$53)^-($AS37),0))</f>
        <v>80407.446100667774</v>
      </c>
      <c r="AY37" s="89">
        <f>IF(G$67=0,IF($AS37&lt;G$4,G$55*(1+Overview!$B$53)^-($AS37),0),IF($AS37&lt;G$4,G$67*(1+Overview!$B$53)^-($AS37),0))</f>
        <v>80407.446100667774</v>
      </c>
      <c r="AZ37" s="89">
        <f>IF(E$68=0,IF($AS37&lt;E$4,E$56*(1+Overview!$B$53)^-($AS37),0),IF($AS37&lt;E$4,E$68*(1+Overview!$B$53)^-($AS37),0))</f>
        <v>0</v>
      </c>
      <c r="BA37" s="89">
        <f>IF(F$68=0,IF($AS37&lt;F$4,F$56*(1+Overview!$B$53)^-($AS37),0),IF($AS37&lt;F$4,F$68*(1+Overview!$B$53)^-($AS37),0))</f>
        <v>0</v>
      </c>
      <c r="BB37" s="89">
        <f>IF(G$68=0,IF($AS37&lt;G$4,G$56*(1+Overview!$B$53)^-($AS37),0),IF($AS37&lt;G$4,G$68*(1+Overview!$B$53)^-($AS37),0))</f>
        <v>0</v>
      </c>
      <c r="BC37" s="89">
        <f>IF(E$69=0,IF($AS37&lt;E$4,E$57*(1+Overview!$B$53)^-($AS37),0),IF($AS37&lt;E$4,E$69*(1+Overview!$B$53)^-($AS37),0))</f>
        <v>0</v>
      </c>
      <c r="BD37" s="89">
        <f>IF(F$69=0,IF($AS37&lt;F$4,F$57*(1+Overview!$B$53)^-($AS37),0),IF($AS37&lt;F$4,F$69*(1+Overview!$B$53)^-($AS37),0))</f>
        <v>0</v>
      </c>
      <c r="BE37" s="95">
        <f>IF(G$69=0,IF($AS37&lt;G$4,G$57*(1+Overview!$B$53)^-($AS37),0),IF($AS37&lt;G$4,G$69*(1+Overview!$B$53)^-($AS37),0))</f>
        <v>0</v>
      </c>
      <c r="BF37" s="1"/>
    </row>
    <row r="38" spans="1:58" x14ac:dyDescent="0.3">
      <c r="A38" s="33"/>
      <c r="B38" s="189"/>
      <c r="C38" s="189" t="s">
        <v>87</v>
      </c>
      <c r="D38" s="189" t="s">
        <v>90</v>
      </c>
      <c r="E38" s="201">
        <f>((VLOOKUP(Overview!$B$49,'Train disturbance parameters'!$B$6:$H$24,6,FALSE)/100)+1)*((VLOOKUP(Overview!$B$49,'Train disturbance parameters'!$B$6:$H$24,7,FALSE)/100)+1)*E34</f>
        <v>296.4375</v>
      </c>
      <c r="F38" s="202">
        <f>((VLOOKUP(Overview!$B$49,'Train disturbance parameters'!$B$6:$H$24,6,FALSE)/100)+1)*((VLOOKUP(Overview!$B$49,'Train disturbance parameters'!$B$6:$H$24,7,FALSE)/100)+1)*F34</f>
        <v>296.4375</v>
      </c>
      <c r="G38" s="203">
        <f>((VLOOKUP(Overview!$B$49,'Train disturbance parameters'!$B$6:$H$24,6,FALSE)/100)+1)*((VLOOKUP(Overview!$B$49,'Train disturbance parameters'!$B$6:$H$24,7,FALSE)/100)+1)*G34</f>
        <v>296.4375</v>
      </c>
      <c r="H38" s="194" t="s">
        <v>60</v>
      </c>
      <c r="I38" s="70"/>
      <c r="J38" s="70"/>
      <c r="K38" s="139"/>
      <c r="L38" s="103"/>
      <c r="M38" s="101"/>
      <c r="N38" s="101"/>
      <c r="O38" s="101"/>
      <c r="P38" s="146"/>
      <c r="Q38" s="150"/>
      <c r="R38" s="118">
        <f t="shared" si="4"/>
        <v>31</v>
      </c>
      <c r="S38" s="94">
        <f t="shared" si="9"/>
        <v>0</v>
      </c>
      <c r="T38" s="89">
        <f t="shared" si="9"/>
        <v>0</v>
      </c>
      <c r="U38" s="95">
        <f t="shared" si="9"/>
        <v>0</v>
      </c>
      <c r="V38" s="94">
        <f t="shared" si="10"/>
        <v>0</v>
      </c>
      <c r="W38" s="89">
        <f t="shared" si="10"/>
        <v>0</v>
      </c>
      <c r="X38" s="95">
        <f t="shared" si="10"/>
        <v>0</v>
      </c>
      <c r="Y38" s="89"/>
      <c r="Z38" s="118">
        <f t="shared" si="5"/>
        <v>32</v>
      </c>
      <c r="AA38" s="94">
        <f t="shared" si="11"/>
        <v>33258.970860678426</v>
      </c>
      <c r="AB38" s="89">
        <f t="shared" si="11"/>
        <v>16629.485430339213</v>
      </c>
      <c r="AC38" s="95">
        <f t="shared" si="11"/>
        <v>16629.485430339213</v>
      </c>
      <c r="AD38" s="94">
        <f t="shared" si="12"/>
        <v>103584.4716272693</v>
      </c>
      <c r="AE38" s="89">
        <f t="shared" si="12"/>
        <v>77688.353720451967</v>
      </c>
      <c r="AF38" s="95">
        <f t="shared" si="12"/>
        <v>77688.353720451967</v>
      </c>
      <c r="AG38" s="84"/>
      <c r="AH38" s="118">
        <f t="shared" si="6"/>
        <v>31</v>
      </c>
      <c r="AI38" s="94">
        <f>IF(E$5*$AH38&lt;E$5*E$14,(E$19*E$6*(1+Overview!$B$53)^-(E$5*$AH38)),0)</f>
        <v>0</v>
      </c>
      <c r="AJ38" s="89">
        <f>IF(F$5*$AH38&lt;F$5*F$14,(F$19*F$6*(1+Overview!$B$53)^-(F$5*$AH38)),0)</f>
        <v>0</v>
      </c>
      <c r="AK38" s="95">
        <f>IF(G$5*$AH38&lt;G$5*G$14,(G$19*G$6*(1+Overview!$B$53)^-(G$5*$AH38)),0)</f>
        <v>0</v>
      </c>
      <c r="AL38" s="94">
        <f>IF($AH38=0,0,IF(E$5*$AH38&lt;=E$5*E$14,(E$22*E$6*(1+Overview!$B$53)^-(E$5*$AH38)),0))</f>
        <v>0</v>
      </c>
      <c r="AM38" s="89">
        <f>IF($AH38=0,0,IF(F$5*$AH38&lt;=F$5*F$14,(F$22*F$6*(1+Overview!$B$53)^-(F$5*$AH38)),0))</f>
        <v>0</v>
      </c>
      <c r="AN38" s="95">
        <f>IF($AH38=0,0,IF(G$5*$AH38&lt;=G$5*G$14,(G$22*G$6*(1+Overview!$B$53)^-(G$5*$AH38)),0))</f>
        <v>0</v>
      </c>
      <c r="AO38" s="94">
        <f>IF(E$16&gt;0,IF($AH37*E$14=E$4,-(E$16/E$5)*E$19*E$6*(1+Overview!$B$53)^-E$4+(E$22*E$6*(1+Overview!$B$53)^-E$4),0),0)</f>
        <v>0</v>
      </c>
      <c r="AP38" s="89">
        <f>IF(F$16&gt;0,IF($AH37*F$14=F$4,-(F$16/F$5)*F$19*F$6*(1+Overview!$B$53)^-F$4+(F$22*F$6*(1+Overview!$B$53)^-F$4),0),0)</f>
        <v>0</v>
      </c>
      <c r="AQ38" s="95">
        <f>IF(G$16&gt;0,IF($AH37*G$14=G$4,-(G$16/G$5)*G$19*G$6*(1+Overview!$B$53)^-G$4+(G$22*G$6*(1+Overview!$B$53)^-G$4),0),0)</f>
        <v>0</v>
      </c>
      <c r="AR38" s="84"/>
      <c r="AS38" s="109">
        <f t="shared" si="7"/>
        <v>32</v>
      </c>
      <c r="AT38" s="94">
        <f>IF($AS38&lt;E$4,E$20*E$6*E$11*(1+Overview!$B$53)^-($AS38),0)</f>
        <v>33258.970860678426</v>
      </c>
      <c r="AU38" s="89">
        <f>IF($AS38&lt;F$4,F$20*F$6*F$11*(1+Overview!$B$53)^-($AS38),0)</f>
        <v>16629.485430339213</v>
      </c>
      <c r="AV38" s="89">
        <f>IF($AS38&lt;G$4,G$20*G$6*G$11*(1+Overview!$B$53)^-($AS38),0)</f>
        <v>16629.485430339213</v>
      </c>
      <c r="AW38" s="94">
        <f>IF(E$67=0,IF($AS38&lt;E$4,E$55*(1+Overview!$B$53)^-($AS38),0),IF($AS38&lt;E$4,E$67*(1+Overview!$B$53)^-($AS38),0))</f>
        <v>103584.4716272693</v>
      </c>
      <c r="AX38" s="89">
        <f>IF(F$67=0,IF($AS38&lt;F$4,F$55*(1+Overview!$B$53)^-($AS38),0),IF($AS38&lt;F$4,F$67*(1+Overview!$B$53)^-($AS38),0))</f>
        <v>77688.353720451967</v>
      </c>
      <c r="AY38" s="89">
        <f>IF(G$67=0,IF($AS38&lt;G$4,G$55*(1+Overview!$B$53)^-($AS38),0),IF($AS38&lt;G$4,G$67*(1+Overview!$B$53)^-($AS38),0))</f>
        <v>77688.353720451967</v>
      </c>
      <c r="AZ38" s="89">
        <f>IF(E$68=0,IF($AS38&lt;E$4,E$56*(1+Overview!$B$53)^-($AS38),0),IF($AS38&lt;E$4,E$68*(1+Overview!$B$53)^-($AS38),0))</f>
        <v>0</v>
      </c>
      <c r="BA38" s="89">
        <f>IF(F$68=0,IF($AS38&lt;F$4,F$56*(1+Overview!$B$53)^-($AS38),0),IF($AS38&lt;F$4,F$68*(1+Overview!$B$53)^-($AS38),0))</f>
        <v>0</v>
      </c>
      <c r="BB38" s="89">
        <f>IF(G$68=0,IF($AS38&lt;G$4,G$56*(1+Overview!$B$53)^-($AS38),0),IF($AS38&lt;G$4,G$68*(1+Overview!$B$53)^-($AS38),0))</f>
        <v>0</v>
      </c>
      <c r="BC38" s="89">
        <f>IF(E$69=0,IF($AS38&lt;E$4,E$57*(1+Overview!$B$53)^-($AS38),0),IF($AS38&lt;E$4,E$69*(1+Overview!$B$53)^-($AS38),0))</f>
        <v>0</v>
      </c>
      <c r="BD38" s="89">
        <f>IF(F$69=0,IF($AS38&lt;F$4,F$57*(1+Overview!$B$53)^-($AS38),0),IF($AS38&lt;F$4,F$69*(1+Overview!$B$53)^-($AS38),0))</f>
        <v>0</v>
      </c>
      <c r="BE38" s="95">
        <f>IF(G$69=0,IF($AS38&lt;G$4,G$57*(1+Overview!$B$53)^-($AS38),0),IF($AS38&lt;G$4,G$69*(1+Overview!$B$53)^-($AS38),0))</f>
        <v>0</v>
      </c>
      <c r="BF38" s="1"/>
    </row>
    <row r="39" spans="1:58" x14ac:dyDescent="0.3">
      <c r="A39" s="33"/>
      <c r="B39" s="186" t="s">
        <v>100</v>
      </c>
      <c r="C39" s="187" t="s">
        <v>84</v>
      </c>
      <c r="D39" s="187" t="s">
        <v>90</v>
      </c>
      <c r="E39" s="75"/>
      <c r="F39" s="76"/>
      <c r="G39" s="74"/>
      <c r="H39" s="125" t="s">
        <v>33</v>
      </c>
      <c r="I39" s="123"/>
      <c r="J39" s="123"/>
      <c r="K39" s="140"/>
      <c r="L39" s="104"/>
      <c r="M39" s="101"/>
      <c r="N39" s="101"/>
      <c r="O39" s="101"/>
      <c r="P39" s="146"/>
      <c r="Q39" s="150"/>
      <c r="R39" s="118">
        <f t="shared" si="4"/>
        <v>32</v>
      </c>
      <c r="S39" s="94">
        <f t="shared" si="9"/>
        <v>0</v>
      </c>
      <c r="T39" s="89">
        <f t="shared" si="9"/>
        <v>0</v>
      </c>
      <c r="U39" s="95">
        <f t="shared" si="9"/>
        <v>0</v>
      </c>
      <c r="V39" s="94">
        <f t="shared" si="10"/>
        <v>0</v>
      </c>
      <c r="W39" s="89">
        <f t="shared" si="10"/>
        <v>0</v>
      </c>
      <c r="X39" s="95">
        <f t="shared" si="10"/>
        <v>0</v>
      </c>
      <c r="Y39" s="89"/>
      <c r="Z39" s="118">
        <f t="shared" si="5"/>
        <v>33</v>
      </c>
      <c r="AA39" s="94">
        <f t="shared" si="11"/>
        <v>32134.271362974327</v>
      </c>
      <c r="AB39" s="89">
        <f t="shared" si="11"/>
        <v>16067.135681487163</v>
      </c>
      <c r="AC39" s="95">
        <f t="shared" si="11"/>
        <v>16067.135681487163</v>
      </c>
      <c r="AD39" s="94">
        <f t="shared" si="12"/>
        <v>100081.61509881091</v>
      </c>
      <c r="AE39" s="89">
        <f t="shared" si="12"/>
        <v>75061.211324108182</v>
      </c>
      <c r="AF39" s="95">
        <f t="shared" si="12"/>
        <v>75061.211324108182</v>
      </c>
      <c r="AG39" s="84"/>
      <c r="AH39" s="118">
        <f t="shared" si="6"/>
        <v>32</v>
      </c>
      <c r="AI39" s="94">
        <f>IF(E$5*$AH39&lt;E$5*E$14,(E$19*E$6*(1+Overview!$B$53)^-(E$5*$AH39)),0)</f>
        <v>0</v>
      </c>
      <c r="AJ39" s="89">
        <f>IF(F$5*$AH39&lt;F$5*F$14,(F$19*F$6*(1+Overview!$B$53)^-(F$5*$AH39)),0)</f>
        <v>0</v>
      </c>
      <c r="AK39" s="95">
        <f>IF(G$5*$AH39&lt;G$5*G$14,(G$19*G$6*(1+Overview!$B$53)^-(G$5*$AH39)),0)</f>
        <v>0</v>
      </c>
      <c r="AL39" s="94">
        <f>IF($AH39=0,0,IF(E$5*$AH39&lt;=E$5*E$14,(E$22*E$6*(1+Overview!$B$53)^-(E$5*$AH39)),0))</f>
        <v>0</v>
      </c>
      <c r="AM39" s="89">
        <f>IF($AH39=0,0,IF(F$5*$AH39&lt;=F$5*F$14,(F$22*F$6*(1+Overview!$B$53)^-(F$5*$AH39)),0))</f>
        <v>0</v>
      </c>
      <c r="AN39" s="95">
        <f>IF($AH39=0,0,IF(G$5*$AH39&lt;=G$5*G$14,(G$22*G$6*(1+Overview!$B$53)^-(G$5*$AH39)),0))</f>
        <v>0</v>
      </c>
      <c r="AO39" s="94">
        <f>IF(E$16&gt;0,IF($AH38*E$14=E$4,-(E$16/E$5)*E$19*E$6*(1+Overview!$B$53)^-E$4+(E$22*E$6*(1+Overview!$B$53)^-E$4),0),0)</f>
        <v>0</v>
      </c>
      <c r="AP39" s="89">
        <f>IF(F$16&gt;0,IF($AH38*F$14=F$4,-(F$16/F$5)*F$19*F$6*(1+Overview!$B$53)^-F$4+(F$22*F$6*(1+Overview!$B$53)^-F$4),0),0)</f>
        <v>0</v>
      </c>
      <c r="AQ39" s="95">
        <f>IF(G$16&gt;0,IF($AH38*G$14=G$4,-(G$16/G$5)*G$19*G$6*(1+Overview!$B$53)^-G$4+(G$22*G$6*(1+Overview!$B$53)^-G$4),0),0)</f>
        <v>0</v>
      </c>
      <c r="AR39" s="84"/>
      <c r="AS39" s="109">
        <f t="shared" si="7"/>
        <v>33</v>
      </c>
      <c r="AT39" s="94">
        <f>IF($AS39&lt;E$4,E$20*E$6*E$11*(1+Overview!$B$53)^-($AS39),0)</f>
        <v>32134.271362974327</v>
      </c>
      <c r="AU39" s="89">
        <f>IF($AS39&lt;F$4,F$20*F$6*F$11*(1+Overview!$B$53)^-($AS39),0)</f>
        <v>16067.135681487163</v>
      </c>
      <c r="AV39" s="89">
        <f>IF($AS39&lt;G$4,G$20*G$6*G$11*(1+Overview!$B$53)^-($AS39),0)</f>
        <v>16067.135681487163</v>
      </c>
      <c r="AW39" s="94">
        <f>IF(E$67=0,IF($AS39&lt;E$4,E$55*(1+Overview!$B$53)^-($AS39),0),IF($AS39&lt;E$4,E$67*(1+Overview!$B$53)^-($AS39),0))</f>
        <v>100081.61509881091</v>
      </c>
      <c r="AX39" s="89">
        <f>IF(F$67=0,IF($AS39&lt;F$4,F$55*(1+Overview!$B$53)^-($AS39),0),IF($AS39&lt;F$4,F$67*(1+Overview!$B$53)^-($AS39),0))</f>
        <v>75061.211324108182</v>
      </c>
      <c r="AY39" s="89">
        <f>IF(G$67=0,IF($AS39&lt;G$4,G$55*(1+Overview!$B$53)^-($AS39),0),IF($AS39&lt;G$4,G$67*(1+Overview!$B$53)^-($AS39),0))</f>
        <v>75061.211324108182</v>
      </c>
      <c r="AZ39" s="89">
        <f>IF(E$68=0,IF($AS39&lt;E$4,E$56*(1+Overview!$B$53)^-($AS39),0),IF($AS39&lt;E$4,E$68*(1+Overview!$B$53)^-($AS39),0))</f>
        <v>0</v>
      </c>
      <c r="BA39" s="89">
        <f>IF(F$68=0,IF($AS39&lt;F$4,F$56*(1+Overview!$B$53)^-($AS39),0),IF($AS39&lt;F$4,F$68*(1+Overview!$B$53)^-($AS39),0))</f>
        <v>0</v>
      </c>
      <c r="BB39" s="89">
        <f>IF(G$68=0,IF($AS39&lt;G$4,G$56*(1+Overview!$B$53)^-($AS39),0),IF($AS39&lt;G$4,G$68*(1+Overview!$B$53)^-($AS39),0))</f>
        <v>0</v>
      </c>
      <c r="BC39" s="89">
        <f>IF(E$69=0,IF($AS39&lt;E$4,E$57*(1+Overview!$B$53)^-($AS39),0),IF($AS39&lt;E$4,E$69*(1+Overview!$B$53)^-($AS39),0))</f>
        <v>0</v>
      </c>
      <c r="BD39" s="89">
        <f>IF(F$69=0,IF($AS39&lt;F$4,F$57*(1+Overview!$B$53)^-($AS39),0),IF($AS39&lt;F$4,F$69*(1+Overview!$B$53)^-($AS39),0))</f>
        <v>0</v>
      </c>
      <c r="BE39" s="95">
        <f>IF(G$69=0,IF($AS39&lt;G$4,G$57*(1+Overview!$B$53)^-($AS39),0),IF($AS39&lt;G$4,G$69*(1+Overview!$B$53)^-($AS39),0))</f>
        <v>0</v>
      </c>
      <c r="BF39" s="1"/>
    </row>
    <row r="40" spans="1:58" x14ac:dyDescent="0.3">
      <c r="A40" s="33"/>
      <c r="B40" s="187"/>
      <c r="C40" s="187" t="s">
        <v>86</v>
      </c>
      <c r="D40" s="187" t="s">
        <v>90</v>
      </c>
      <c r="E40" s="75"/>
      <c r="F40" s="76"/>
      <c r="G40" s="74"/>
      <c r="H40" s="125" t="s">
        <v>33</v>
      </c>
      <c r="I40" s="128"/>
      <c r="J40" s="128"/>
      <c r="K40" s="141"/>
      <c r="L40" s="103"/>
      <c r="M40" s="101"/>
      <c r="N40" s="101"/>
      <c r="O40" s="101"/>
      <c r="P40" s="146"/>
      <c r="Q40" s="150"/>
      <c r="R40" s="118">
        <f t="shared" si="4"/>
        <v>33</v>
      </c>
      <c r="S40" s="94">
        <f t="shared" si="9"/>
        <v>0</v>
      </c>
      <c r="T40" s="89">
        <f t="shared" si="9"/>
        <v>0</v>
      </c>
      <c r="U40" s="95">
        <f t="shared" si="9"/>
        <v>0</v>
      </c>
      <c r="V40" s="94">
        <f t="shared" si="10"/>
        <v>0</v>
      </c>
      <c r="W40" s="89">
        <f t="shared" si="10"/>
        <v>0</v>
      </c>
      <c r="X40" s="95">
        <f t="shared" si="10"/>
        <v>0</v>
      </c>
      <c r="Y40" s="89"/>
      <c r="Z40" s="118">
        <f t="shared" si="5"/>
        <v>34</v>
      </c>
      <c r="AA40" s="94">
        <f t="shared" si="11"/>
        <v>31047.60518161771</v>
      </c>
      <c r="AB40" s="89">
        <f t="shared" si="11"/>
        <v>15523.802590808855</v>
      </c>
      <c r="AC40" s="95">
        <f t="shared" si="11"/>
        <v>15523.802590808855</v>
      </c>
      <c r="AD40" s="94">
        <f t="shared" si="12"/>
        <v>96697.212655855968</v>
      </c>
      <c r="AE40" s="89">
        <f t="shared" si="12"/>
        <v>72522.909491891973</v>
      </c>
      <c r="AF40" s="95">
        <f t="shared" si="12"/>
        <v>72522.909491891973</v>
      </c>
      <c r="AG40" s="84"/>
      <c r="AH40" s="118">
        <f t="shared" si="6"/>
        <v>33</v>
      </c>
      <c r="AI40" s="94">
        <f>IF(E$5*$AH40&lt;E$5*E$14,(E$19*E$6*(1+Overview!$B$53)^-(E$5*$AH40)),0)</f>
        <v>0</v>
      </c>
      <c r="AJ40" s="89">
        <f>IF(F$5*$AH40&lt;F$5*F$14,(F$19*F$6*(1+Overview!$B$53)^-(F$5*$AH40)),0)</f>
        <v>0</v>
      </c>
      <c r="AK40" s="95">
        <f>IF(G$5*$AH40&lt;G$5*G$14,(G$19*G$6*(1+Overview!$B$53)^-(G$5*$AH40)),0)</f>
        <v>0</v>
      </c>
      <c r="AL40" s="94">
        <f>IF($AH40=0,0,IF(E$5*$AH40&lt;=E$5*E$14,(E$22*E$6*(1+Overview!$B$53)^-(E$5*$AH40)),0))</f>
        <v>0</v>
      </c>
      <c r="AM40" s="89">
        <f>IF($AH40=0,0,IF(F$5*$AH40&lt;=F$5*F$14,(F$22*F$6*(1+Overview!$B$53)^-(F$5*$AH40)),0))</f>
        <v>0</v>
      </c>
      <c r="AN40" s="95">
        <f>IF($AH40=0,0,IF(G$5*$AH40&lt;=G$5*G$14,(G$22*G$6*(1+Overview!$B$53)^-(G$5*$AH40)),0))</f>
        <v>0</v>
      </c>
      <c r="AO40" s="94">
        <f>IF(E$16&gt;0,IF($AH39*E$14=E$4,-(E$16/E$5)*E$19*E$6*(1+Overview!$B$53)^-E$4+(E$22*E$6*(1+Overview!$B$53)^-E$4),0),0)</f>
        <v>0</v>
      </c>
      <c r="AP40" s="89">
        <f>IF(F$16&gt;0,IF($AH39*F$14=F$4,-(F$16/F$5)*F$19*F$6*(1+Overview!$B$53)^-F$4+(F$22*F$6*(1+Overview!$B$53)^-F$4),0),0)</f>
        <v>0</v>
      </c>
      <c r="AQ40" s="95">
        <f>IF(G$16&gt;0,IF($AH39*G$14=G$4,-(G$16/G$5)*G$19*G$6*(1+Overview!$B$53)^-G$4+(G$22*G$6*(1+Overview!$B$53)^-G$4),0),0)</f>
        <v>0</v>
      </c>
      <c r="AR40" s="84"/>
      <c r="AS40" s="109">
        <f t="shared" si="7"/>
        <v>34</v>
      </c>
      <c r="AT40" s="94">
        <f>IF($AS40&lt;E$4,E$20*E$6*E$11*(1+Overview!$B$53)^-($AS40),0)</f>
        <v>31047.60518161771</v>
      </c>
      <c r="AU40" s="89">
        <f>IF($AS40&lt;F$4,F$20*F$6*F$11*(1+Overview!$B$53)^-($AS40),0)</f>
        <v>15523.802590808855</v>
      </c>
      <c r="AV40" s="89">
        <f>IF($AS40&lt;G$4,G$20*G$6*G$11*(1+Overview!$B$53)^-($AS40),0)</f>
        <v>15523.802590808855</v>
      </c>
      <c r="AW40" s="94">
        <f>IF(E$67=0,IF($AS40&lt;E$4,E$55*(1+Overview!$B$53)^-($AS40),0),IF($AS40&lt;E$4,E$67*(1+Overview!$B$53)^-($AS40),0))</f>
        <v>96697.212655855968</v>
      </c>
      <c r="AX40" s="89">
        <f>IF(F$67=0,IF($AS40&lt;F$4,F$55*(1+Overview!$B$53)^-($AS40),0),IF($AS40&lt;F$4,F$67*(1+Overview!$B$53)^-($AS40),0))</f>
        <v>72522.909491891973</v>
      </c>
      <c r="AY40" s="89">
        <f>IF(G$67=0,IF($AS40&lt;G$4,G$55*(1+Overview!$B$53)^-($AS40),0),IF($AS40&lt;G$4,G$67*(1+Overview!$B$53)^-($AS40),0))</f>
        <v>72522.909491891973</v>
      </c>
      <c r="AZ40" s="89">
        <f>IF(E$68=0,IF($AS40&lt;E$4,E$56*(1+Overview!$B$53)^-($AS40),0),IF($AS40&lt;E$4,E$68*(1+Overview!$B$53)^-($AS40),0))</f>
        <v>0</v>
      </c>
      <c r="BA40" s="89">
        <f>IF(F$68=0,IF($AS40&lt;F$4,F$56*(1+Overview!$B$53)^-($AS40),0),IF($AS40&lt;F$4,F$68*(1+Overview!$B$53)^-($AS40),0))</f>
        <v>0</v>
      </c>
      <c r="BB40" s="89">
        <f>IF(G$68=0,IF($AS40&lt;G$4,G$56*(1+Overview!$B$53)^-($AS40),0),IF($AS40&lt;G$4,G$68*(1+Overview!$B$53)^-($AS40),0))</f>
        <v>0</v>
      </c>
      <c r="BC40" s="89">
        <f>IF(E$69=0,IF($AS40&lt;E$4,E$57*(1+Overview!$B$53)^-($AS40),0),IF($AS40&lt;E$4,E$69*(1+Overview!$B$53)^-($AS40),0))</f>
        <v>0</v>
      </c>
      <c r="BD40" s="89">
        <f>IF(F$69=0,IF($AS40&lt;F$4,F$57*(1+Overview!$B$53)^-($AS40),0),IF($AS40&lt;F$4,F$69*(1+Overview!$B$53)^-($AS40),0))</f>
        <v>0</v>
      </c>
      <c r="BE40" s="95">
        <f>IF(G$69=0,IF($AS40&lt;G$4,G$57*(1+Overview!$B$53)^-($AS40),0),IF($AS40&lt;G$4,G$69*(1+Overview!$B$53)^-($AS40),0))</f>
        <v>0</v>
      </c>
      <c r="BF40" s="1"/>
    </row>
    <row r="41" spans="1:58" x14ac:dyDescent="0.3">
      <c r="A41" s="33"/>
      <c r="B41" s="187"/>
      <c r="C41" s="187" t="s">
        <v>87</v>
      </c>
      <c r="D41" s="187" t="s">
        <v>90</v>
      </c>
      <c r="E41" s="75"/>
      <c r="F41" s="76"/>
      <c r="G41" s="74"/>
      <c r="H41" s="125" t="s">
        <v>33</v>
      </c>
      <c r="I41" s="70"/>
      <c r="J41" s="70"/>
      <c r="K41" s="139"/>
      <c r="L41" s="33"/>
      <c r="M41" s="101"/>
      <c r="N41" s="101"/>
      <c r="O41" s="101"/>
      <c r="P41" s="146"/>
      <c r="Q41" s="150"/>
      <c r="R41" s="118">
        <f t="shared" si="4"/>
        <v>34</v>
      </c>
      <c r="S41" s="94">
        <f t="shared" si="9"/>
        <v>0</v>
      </c>
      <c r="T41" s="89">
        <f t="shared" si="9"/>
        <v>0</v>
      </c>
      <c r="U41" s="95">
        <f t="shared" si="9"/>
        <v>0</v>
      </c>
      <c r="V41" s="94">
        <f t="shared" si="10"/>
        <v>0</v>
      </c>
      <c r="W41" s="89">
        <f t="shared" si="10"/>
        <v>0</v>
      </c>
      <c r="X41" s="95">
        <f t="shared" si="10"/>
        <v>0</v>
      </c>
      <c r="Y41" s="89"/>
      <c r="Z41" s="118">
        <f t="shared" si="5"/>
        <v>35</v>
      </c>
      <c r="AA41" s="94">
        <f t="shared" si="11"/>
        <v>29997.686165814215</v>
      </c>
      <c r="AB41" s="89">
        <f t="shared" si="11"/>
        <v>14998.843082907108</v>
      </c>
      <c r="AC41" s="95">
        <f t="shared" si="11"/>
        <v>14998.843082907108</v>
      </c>
      <c r="AD41" s="94">
        <f t="shared" si="12"/>
        <v>93427.258604691771</v>
      </c>
      <c r="AE41" s="89">
        <f t="shared" si="12"/>
        <v>70070.443953518814</v>
      </c>
      <c r="AF41" s="95">
        <f t="shared" si="12"/>
        <v>70070.443953518814</v>
      </c>
      <c r="AG41" s="84"/>
      <c r="AH41" s="118">
        <f t="shared" si="6"/>
        <v>34</v>
      </c>
      <c r="AI41" s="94">
        <f>IF(E$5*$AH41&lt;E$5*E$14,(E$19*E$6*(1+Overview!$B$53)^-(E$5*$AH41)),0)</f>
        <v>0</v>
      </c>
      <c r="AJ41" s="89">
        <f>IF(F$5*$AH41&lt;F$5*F$14,(F$19*F$6*(1+Overview!$B$53)^-(F$5*$AH41)),0)</f>
        <v>0</v>
      </c>
      <c r="AK41" s="95">
        <f>IF(G$5*$AH41&lt;G$5*G$14,(G$19*G$6*(1+Overview!$B$53)^-(G$5*$AH41)),0)</f>
        <v>0</v>
      </c>
      <c r="AL41" s="94">
        <f>IF($AH41=0,0,IF(E$5*$AH41&lt;=E$5*E$14,(E$22*E$6*(1+Overview!$B$53)^-(E$5*$AH41)),0))</f>
        <v>0</v>
      </c>
      <c r="AM41" s="89">
        <f>IF($AH41=0,0,IF(F$5*$AH41&lt;=F$5*F$14,(F$22*F$6*(1+Overview!$B$53)^-(F$5*$AH41)),0))</f>
        <v>0</v>
      </c>
      <c r="AN41" s="95">
        <f>IF($AH41=0,0,IF(G$5*$AH41&lt;=G$5*G$14,(G$22*G$6*(1+Overview!$B$53)^-(G$5*$AH41)),0))</f>
        <v>0</v>
      </c>
      <c r="AO41" s="94">
        <f>IF(E$16&gt;0,IF($AH40*E$14=E$4,-(E$16/E$5)*E$19*E$6*(1+Overview!$B$53)^-E$4+(E$22*E$6*(1+Overview!$B$53)^-E$4),0),0)</f>
        <v>0</v>
      </c>
      <c r="AP41" s="89">
        <f>IF(F$16&gt;0,IF($AH40*F$14=F$4,-(F$16/F$5)*F$19*F$6*(1+Overview!$B$53)^-F$4+(F$22*F$6*(1+Overview!$B$53)^-F$4),0),0)</f>
        <v>0</v>
      </c>
      <c r="AQ41" s="95">
        <f>IF(G$16&gt;0,IF($AH40*G$14=G$4,-(G$16/G$5)*G$19*G$6*(1+Overview!$B$53)^-G$4+(G$22*G$6*(1+Overview!$B$53)^-G$4),0),0)</f>
        <v>0</v>
      </c>
      <c r="AR41" s="84"/>
      <c r="AS41" s="109">
        <f t="shared" si="7"/>
        <v>35</v>
      </c>
      <c r="AT41" s="94">
        <f>IF($AS41&lt;E$4,E$20*E$6*E$11*(1+Overview!$B$53)^-($AS41),0)</f>
        <v>29997.686165814215</v>
      </c>
      <c r="AU41" s="89">
        <f>IF($AS41&lt;F$4,F$20*F$6*F$11*(1+Overview!$B$53)^-($AS41),0)</f>
        <v>14998.843082907108</v>
      </c>
      <c r="AV41" s="89">
        <f>IF($AS41&lt;G$4,G$20*G$6*G$11*(1+Overview!$B$53)^-($AS41),0)</f>
        <v>14998.843082907108</v>
      </c>
      <c r="AW41" s="94">
        <f>IF(E$67=0,IF($AS41&lt;E$4,E$55*(1+Overview!$B$53)^-($AS41),0),IF($AS41&lt;E$4,E$67*(1+Overview!$B$53)^-($AS41),0))</f>
        <v>93427.258604691771</v>
      </c>
      <c r="AX41" s="89">
        <f>IF(F$67=0,IF($AS41&lt;F$4,F$55*(1+Overview!$B$53)^-($AS41),0),IF($AS41&lt;F$4,F$67*(1+Overview!$B$53)^-($AS41),0))</f>
        <v>70070.443953518814</v>
      </c>
      <c r="AY41" s="89">
        <f>IF(G$67=0,IF($AS41&lt;G$4,G$55*(1+Overview!$B$53)^-($AS41),0),IF($AS41&lt;G$4,G$67*(1+Overview!$B$53)^-($AS41),0))</f>
        <v>70070.443953518814</v>
      </c>
      <c r="AZ41" s="89">
        <f>IF(E$68=0,IF($AS41&lt;E$4,E$56*(1+Overview!$B$53)^-($AS41),0),IF($AS41&lt;E$4,E$68*(1+Overview!$B$53)^-($AS41),0))</f>
        <v>0</v>
      </c>
      <c r="BA41" s="89">
        <f>IF(F$68=0,IF($AS41&lt;F$4,F$56*(1+Overview!$B$53)^-($AS41),0),IF($AS41&lt;F$4,F$68*(1+Overview!$B$53)^-($AS41),0))</f>
        <v>0</v>
      </c>
      <c r="BB41" s="89">
        <f>IF(G$68=0,IF($AS41&lt;G$4,G$56*(1+Overview!$B$53)^-($AS41),0),IF($AS41&lt;G$4,G$68*(1+Overview!$B$53)^-($AS41),0))</f>
        <v>0</v>
      </c>
      <c r="BC41" s="89">
        <f>IF(E$69=0,IF($AS41&lt;E$4,E$57*(1+Overview!$B$53)^-($AS41),0),IF($AS41&lt;E$4,E$69*(1+Overview!$B$53)^-($AS41),0))</f>
        <v>0</v>
      </c>
      <c r="BD41" s="89">
        <f>IF(F$69=0,IF($AS41&lt;F$4,F$57*(1+Overview!$B$53)^-($AS41),0),IF($AS41&lt;F$4,F$69*(1+Overview!$B$53)^-($AS41),0))</f>
        <v>0</v>
      </c>
      <c r="BE41" s="95">
        <f>IF(G$69=0,IF($AS41&lt;G$4,G$57*(1+Overview!$B$53)^-($AS41),0),IF($AS41&lt;G$4,G$69*(1+Overview!$B$53)^-($AS41),0))</f>
        <v>0</v>
      </c>
      <c r="BF41" s="1"/>
    </row>
    <row r="42" spans="1:58" x14ac:dyDescent="0.3">
      <c r="A42" s="33"/>
      <c r="B42" s="33"/>
      <c r="H42" s="33"/>
      <c r="I42" s="70"/>
      <c r="J42" s="70"/>
      <c r="K42" s="139"/>
      <c r="L42" s="33"/>
      <c r="M42" s="101"/>
      <c r="N42" s="101"/>
      <c r="O42" s="101"/>
      <c r="P42" s="146"/>
      <c r="Q42" s="150"/>
      <c r="R42" s="118">
        <f t="shared" si="4"/>
        <v>35</v>
      </c>
      <c r="S42" s="94">
        <f t="shared" si="9"/>
        <v>0</v>
      </c>
      <c r="T42" s="89">
        <f t="shared" si="9"/>
        <v>0</v>
      </c>
      <c r="U42" s="95">
        <f t="shared" si="9"/>
        <v>0</v>
      </c>
      <c r="V42" s="94">
        <f t="shared" si="10"/>
        <v>0</v>
      </c>
      <c r="W42" s="89">
        <f t="shared" si="10"/>
        <v>0</v>
      </c>
      <c r="X42" s="95">
        <f t="shared" si="10"/>
        <v>0</v>
      </c>
      <c r="Y42" s="89"/>
      <c r="Z42" s="118">
        <f t="shared" si="5"/>
        <v>36</v>
      </c>
      <c r="AA42" s="94">
        <f t="shared" si="11"/>
        <v>28983.271657791516</v>
      </c>
      <c r="AB42" s="89">
        <f t="shared" si="11"/>
        <v>14491.635828895758</v>
      </c>
      <c r="AC42" s="95">
        <f t="shared" si="11"/>
        <v>14491.635828895758</v>
      </c>
      <c r="AD42" s="94">
        <f t="shared" si="12"/>
        <v>90267.882709847123</v>
      </c>
      <c r="AE42" s="89">
        <f t="shared" si="12"/>
        <v>67700.912032385342</v>
      </c>
      <c r="AF42" s="95">
        <f t="shared" si="12"/>
        <v>67700.912032385342</v>
      </c>
      <c r="AG42" s="84"/>
      <c r="AH42" s="118">
        <f t="shared" si="6"/>
        <v>35</v>
      </c>
      <c r="AI42" s="94">
        <f>IF(E$5*$AH42&lt;E$5*E$14,(E$19*E$6*(1+Overview!$B$53)^-(E$5*$AH42)),0)</f>
        <v>0</v>
      </c>
      <c r="AJ42" s="89">
        <f>IF(F$5*$AH42&lt;F$5*F$14,(F$19*F$6*(1+Overview!$B$53)^-(F$5*$AH42)),0)</f>
        <v>0</v>
      </c>
      <c r="AK42" s="95">
        <f>IF(G$5*$AH42&lt;G$5*G$14,(G$19*G$6*(1+Overview!$B$53)^-(G$5*$AH42)),0)</f>
        <v>0</v>
      </c>
      <c r="AL42" s="94">
        <f>IF($AH42=0,0,IF(E$5*$AH42&lt;=E$5*E$14,(E$22*E$6*(1+Overview!$B$53)^-(E$5*$AH42)),0))</f>
        <v>0</v>
      </c>
      <c r="AM42" s="89">
        <f>IF($AH42=0,0,IF(F$5*$AH42&lt;=F$5*F$14,(F$22*F$6*(1+Overview!$B$53)^-(F$5*$AH42)),0))</f>
        <v>0</v>
      </c>
      <c r="AN42" s="95">
        <f>IF($AH42=0,0,IF(G$5*$AH42&lt;=G$5*G$14,(G$22*G$6*(1+Overview!$B$53)^-(G$5*$AH42)),0))</f>
        <v>0</v>
      </c>
      <c r="AO42" s="94">
        <f>IF(E$16&gt;0,IF($AH41*E$14=E$4,-(E$16/E$5)*E$19*E$6*(1+Overview!$B$53)^-E$4+(E$22*E$6*(1+Overview!$B$53)^-E$4),0),0)</f>
        <v>0</v>
      </c>
      <c r="AP42" s="89">
        <f>IF(F$16&gt;0,IF($AH41*F$14=F$4,-(F$16/F$5)*F$19*F$6*(1+Overview!$B$53)^-F$4+(F$22*F$6*(1+Overview!$B$53)^-F$4),0),0)</f>
        <v>0</v>
      </c>
      <c r="AQ42" s="95">
        <f>IF(G$16&gt;0,IF($AH41*G$14=G$4,-(G$16/G$5)*G$19*G$6*(1+Overview!$B$53)^-G$4+(G$22*G$6*(1+Overview!$B$53)^-G$4),0),0)</f>
        <v>0</v>
      </c>
      <c r="AR42" s="84"/>
      <c r="AS42" s="109">
        <f t="shared" si="7"/>
        <v>36</v>
      </c>
      <c r="AT42" s="94">
        <f>IF($AS42&lt;E$4,E$20*E$6*E$11*(1+Overview!$B$53)^-($AS42),0)</f>
        <v>28983.271657791516</v>
      </c>
      <c r="AU42" s="89">
        <f>IF($AS42&lt;F$4,F$20*F$6*F$11*(1+Overview!$B$53)^-($AS42),0)</f>
        <v>14491.635828895758</v>
      </c>
      <c r="AV42" s="89">
        <f>IF($AS42&lt;G$4,G$20*G$6*G$11*(1+Overview!$B$53)^-($AS42),0)</f>
        <v>14491.635828895758</v>
      </c>
      <c r="AW42" s="94">
        <f>IF(E$67=0,IF($AS42&lt;E$4,E$55*(1+Overview!$B$53)^-($AS42),0),IF($AS42&lt;E$4,E$67*(1+Overview!$B$53)^-($AS42),0))</f>
        <v>90267.882709847123</v>
      </c>
      <c r="AX42" s="89">
        <f>IF(F$67=0,IF($AS42&lt;F$4,F$55*(1+Overview!$B$53)^-($AS42),0),IF($AS42&lt;F$4,F$67*(1+Overview!$B$53)^-($AS42),0))</f>
        <v>67700.912032385342</v>
      </c>
      <c r="AY42" s="89">
        <f>IF(G$67=0,IF($AS42&lt;G$4,G$55*(1+Overview!$B$53)^-($AS42),0),IF($AS42&lt;G$4,G$67*(1+Overview!$B$53)^-($AS42),0))</f>
        <v>67700.912032385342</v>
      </c>
      <c r="AZ42" s="89">
        <f>IF(E$68=0,IF($AS42&lt;E$4,E$56*(1+Overview!$B$53)^-($AS42),0),IF($AS42&lt;E$4,E$68*(1+Overview!$B$53)^-($AS42),0))</f>
        <v>0</v>
      </c>
      <c r="BA42" s="89">
        <f>IF(F$68=0,IF($AS42&lt;F$4,F$56*(1+Overview!$B$53)^-($AS42),0),IF($AS42&lt;F$4,F$68*(1+Overview!$B$53)^-($AS42),0))</f>
        <v>0</v>
      </c>
      <c r="BB42" s="89">
        <f>IF(G$68=0,IF($AS42&lt;G$4,G$56*(1+Overview!$B$53)^-($AS42),0),IF($AS42&lt;G$4,G$68*(1+Overview!$B$53)^-($AS42),0))</f>
        <v>0</v>
      </c>
      <c r="BC42" s="89">
        <f>IF(E$69=0,IF($AS42&lt;E$4,E$57*(1+Overview!$B$53)^-($AS42),0),IF($AS42&lt;E$4,E$69*(1+Overview!$B$53)^-($AS42),0))</f>
        <v>0</v>
      </c>
      <c r="BD42" s="89">
        <f>IF(F$69=0,IF($AS42&lt;F$4,F$57*(1+Overview!$B$53)^-($AS42),0),IF($AS42&lt;F$4,F$69*(1+Overview!$B$53)^-($AS42),0))</f>
        <v>0</v>
      </c>
      <c r="BE42" s="95">
        <f>IF(G$69=0,IF($AS42&lt;G$4,G$57*(1+Overview!$B$53)^-($AS42),0),IF($AS42&lt;G$4,G$69*(1+Overview!$B$53)^-($AS42),0))</f>
        <v>0</v>
      </c>
      <c r="BF42" s="1"/>
    </row>
    <row r="43" spans="1:58" x14ac:dyDescent="0.3">
      <c r="A43" s="33"/>
      <c r="B43" s="188" t="s">
        <v>103</v>
      </c>
      <c r="C43" s="189" t="s">
        <v>104</v>
      </c>
      <c r="D43" s="189" t="s">
        <v>105</v>
      </c>
      <c r="E43" s="198">
        <f t="shared" ref="E43:G45" si="14">E$12*E$11*E24</f>
        <v>3.3333333333333335</v>
      </c>
      <c r="F43" s="199">
        <f t="shared" si="14"/>
        <v>2.5</v>
      </c>
      <c r="G43" s="200">
        <f t="shared" si="14"/>
        <v>2.5</v>
      </c>
      <c r="H43" s="194" t="s">
        <v>60</v>
      </c>
      <c r="I43" s="70"/>
      <c r="J43" s="70"/>
      <c r="K43" s="139"/>
      <c r="L43" s="33"/>
      <c r="M43" s="101"/>
      <c r="N43" s="101"/>
      <c r="O43" s="101"/>
      <c r="P43" s="146"/>
      <c r="R43" s="118">
        <f t="shared" si="4"/>
        <v>36</v>
      </c>
      <c r="S43" s="94">
        <f t="shared" si="9"/>
        <v>0</v>
      </c>
      <c r="T43" s="89">
        <f t="shared" si="9"/>
        <v>0</v>
      </c>
      <c r="U43" s="95">
        <f t="shared" si="9"/>
        <v>0</v>
      </c>
      <c r="V43" s="94">
        <f t="shared" si="10"/>
        <v>0</v>
      </c>
      <c r="W43" s="89">
        <f t="shared" si="10"/>
        <v>0</v>
      </c>
      <c r="X43" s="95">
        <f t="shared" si="10"/>
        <v>0</v>
      </c>
      <c r="Y43" s="89"/>
      <c r="Z43" s="118">
        <f t="shared" si="5"/>
        <v>37</v>
      </c>
      <c r="AA43" s="94">
        <f t="shared" si="11"/>
        <v>28003.161022020788</v>
      </c>
      <c r="AB43" s="89">
        <f t="shared" si="11"/>
        <v>14001.580511010394</v>
      </c>
      <c r="AC43" s="95">
        <f t="shared" si="11"/>
        <v>14001.580511010394</v>
      </c>
      <c r="AD43" s="94">
        <f t="shared" si="12"/>
        <v>87215.345613378871</v>
      </c>
      <c r="AE43" s="89">
        <f t="shared" si="12"/>
        <v>65411.50921003415</v>
      </c>
      <c r="AF43" s="95">
        <f t="shared" si="12"/>
        <v>65411.50921003415</v>
      </c>
      <c r="AG43" s="84"/>
      <c r="AH43" s="118">
        <f t="shared" si="6"/>
        <v>36</v>
      </c>
      <c r="AI43" s="94">
        <f>IF(E$5*$AH43&lt;E$5*E$14,(E$19*E$6*(1+Overview!$B$53)^-(E$5*$AH43)),0)</f>
        <v>0</v>
      </c>
      <c r="AJ43" s="89">
        <f>IF(F$5*$AH43&lt;F$5*F$14,(F$19*F$6*(1+Overview!$B$53)^-(F$5*$AH43)),0)</f>
        <v>0</v>
      </c>
      <c r="AK43" s="95">
        <f>IF(G$5*$AH43&lt;G$5*G$14,(G$19*G$6*(1+Overview!$B$53)^-(G$5*$AH43)),0)</f>
        <v>0</v>
      </c>
      <c r="AL43" s="94">
        <f>IF($AH43=0,0,IF(E$5*$AH43&lt;=E$5*E$14,(E$22*E$6*(1+Overview!$B$53)^-(E$5*$AH43)),0))</f>
        <v>0</v>
      </c>
      <c r="AM43" s="89">
        <f>IF($AH43=0,0,IF(F$5*$AH43&lt;=F$5*F$14,(F$22*F$6*(1+Overview!$B$53)^-(F$5*$AH43)),0))</f>
        <v>0</v>
      </c>
      <c r="AN43" s="95">
        <f>IF($AH43=0,0,IF(G$5*$AH43&lt;=G$5*G$14,(G$22*G$6*(1+Overview!$B$53)^-(G$5*$AH43)),0))</f>
        <v>0</v>
      </c>
      <c r="AO43" s="94">
        <f>IF(E$16&gt;0,IF($AH42*E$14=E$4,-(E$16/E$5)*E$19*E$6*(1+Overview!$B$53)^-E$4+(E$22*E$6*(1+Overview!$B$53)^-E$4),0),0)</f>
        <v>0</v>
      </c>
      <c r="AP43" s="89">
        <f>IF(F$16&gt;0,IF($AH42*F$14=F$4,-(F$16/F$5)*F$19*F$6*(1+Overview!$B$53)^-F$4+(F$22*F$6*(1+Overview!$B$53)^-F$4),0),0)</f>
        <v>0</v>
      </c>
      <c r="AQ43" s="95">
        <f>IF(G$16&gt;0,IF($AH42*G$14=G$4,-(G$16/G$5)*G$19*G$6*(1+Overview!$B$53)^-G$4+(G$22*G$6*(1+Overview!$B$53)^-G$4),0),0)</f>
        <v>0</v>
      </c>
      <c r="AR43" s="84"/>
      <c r="AS43" s="109">
        <f t="shared" si="7"/>
        <v>37</v>
      </c>
      <c r="AT43" s="94">
        <f>IF($AS43&lt;E$4,E$20*E$6*E$11*(1+Overview!$B$53)^-($AS43),0)</f>
        <v>28003.161022020788</v>
      </c>
      <c r="AU43" s="89">
        <f>IF($AS43&lt;F$4,F$20*F$6*F$11*(1+Overview!$B$53)^-($AS43),0)</f>
        <v>14001.580511010394</v>
      </c>
      <c r="AV43" s="89">
        <f>IF($AS43&lt;G$4,G$20*G$6*G$11*(1+Overview!$B$53)^-($AS43),0)</f>
        <v>14001.580511010394</v>
      </c>
      <c r="AW43" s="94">
        <f>IF(E$67=0,IF($AS43&lt;E$4,E$55*(1+Overview!$B$53)^-($AS43),0),IF($AS43&lt;E$4,E$67*(1+Overview!$B$53)^-($AS43),0))</f>
        <v>87215.345613378871</v>
      </c>
      <c r="AX43" s="89">
        <f>IF(F$67=0,IF($AS43&lt;F$4,F$55*(1+Overview!$B$53)^-($AS43),0),IF($AS43&lt;F$4,F$67*(1+Overview!$B$53)^-($AS43),0))</f>
        <v>65411.50921003415</v>
      </c>
      <c r="AY43" s="89">
        <f>IF(G$67=0,IF($AS43&lt;G$4,G$55*(1+Overview!$B$53)^-($AS43),0),IF($AS43&lt;G$4,G$67*(1+Overview!$B$53)^-($AS43),0))</f>
        <v>65411.50921003415</v>
      </c>
      <c r="AZ43" s="89">
        <f>IF(E$68=0,IF($AS43&lt;E$4,E$56*(1+Overview!$B$53)^-($AS43),0),IF($AS43&lt;E$4,E$68*(1+Overview!$B$53)^-($AS43),0))</f>
        <v>0</v>
      </c>
      <c r="BA43" s="89">
        <f>IF(F$68=0,IF($AS43&lt;F$4,F$56*(1+Overview!$B$53)^-($AS43),0),IF($AS43&lt;F$4,F$68*(1+Overview!$B$53)^-($AS43),0))</f>
        <v>0</v>
      </c>
      <c r="BB43" s="89">
        <f>IF(G$68=0,IF($AS43&lt;G$4,G$56*(1+Overview!$B$53)^-($AS43),0),IF($AS43&lt;G$4,G$68*(1+Overview!$B$53)^-($AS43),0))</f>
        <v>0</v>
      </c>
      <c r="BC43" s="89">
        <f>IF(E$69=0,IF($AS43&lt;E$4,E$57*(1+Overview!$B$53)^-($AS43),0),IF($AS43&lt;E$4,E$69*(1+Overview!$B$53)^-($AS43),0))</f>
        <v>0</v>
      </c>
      <c r="BD43" s="89">
        <f>IF(F$69=0,IF($AS43&lt;F$4,F$57*(1+Overview!$B$53)^-($AS43),0),IF($AS43&lt;F$4,F$69*(1+Overview!$B$53)^-($AS43),0))</f>
        <v>0</v>
      </c>
      <c r="BE43" s="95">
        <f>IF(G$69=0,IF($AS43&lt;G$4,G$57*(1+Overview!$B$53)^-($AS43),0),IF($AS43&lt;G$4,G$69*(1+Overview!$B$53)^-($AS43),0))</f>
        <v>0</v>
      </c>
      <c r="BF43" s="1"/>
    </row>
    <row r="44" spans="1:58" x14ac:dyDescent="0.3">
      <c r="A44" s="33"/>
      <c r="B44" s="204" t="s">
        <v>107</v>
      </c>
      <c r="C44" s="189" t="s">
        <v>108</v>
      </c>
      <c r="D44" s="189" t="s">
        <v>105</v>
      </c>
      <c r="E44" s="198">
        <f t="shared" si="14"/>
        <v>0</v>
      </c>
      <c r="F44" s="199">
        <f t="shared" si="14"/>
        <v>0</v>
      </c>
      <c r="G44" s="200">
        <f t="shared" si="14"/>
        <v>0</v>
      </c>
      <c r="H44" s="194" t="s">
        <v>60</v>
      </c>
      <c r="I44" s="128"/>
      <c r="J44" s="128"/>
      <c r="K44" s="141"/>
      <c r="L44" s="33"/>
      <c r="M44" s="33"/>
      <c r="N44" s="33"/>
      <c r="O44" s="33"/>
      <c r="P44" s="144"/>
      <c r="R44" s="118">
        <f t="shared" si="4"/>
        <v>37</v>
      </c>
      <c r="S44" s="94">
        <f t="shared" si="9"/>
        <v>0</v>
      </c>
      <c r="T44" s="89">
        <f t="shared" si="9"/>
        <v>0</v>
      </c>
      <c r="U44" s="95">
        <f t="shared" si="9"/>
        <v>0</v>
      </c>
      <c r="V44" s="94">
        <f t="shared" si="10"/>
        <v>0</v>
      </c>
      <c r="W44" s="89">
        <f t="shared" si="10"/>
        <v>0</v>
      </c>
      <c r="X44" s="95">
        <f t="shared" si="10"/>
        <v>0</v>
      </c>
      <c r="Y44" s="89"/>
      <c r="Z44" s="118">
        <f t="shared" si="5"/>
        <v>38</v>
      </c>
      <c r="AA44" s="94">
        <f t="shared" si="11"/>
        <v>27056.194224174673</v>
      </c>
      <c r="AB44" s="89">
        <f t="shared" si="11"/>
        <v>13528.097112087336</v>
      </c>
      <c r="AC44" s="95">
        <f t="shared" si="11"/>
        <v>13528.097112087336</v>
      </c>
      <c r="AD44" s="94">
        <f t="shared" si="12"/>
        <v>84266.0344090617</v>
      </c>
      <c r="AE44" s="89">
        <f t="shared" si="12"/>
        <v>63199.525806796279</v>
      </c>
      <c r="AF44" s="95">
        <f t="shared" si="12"/>
        <v>63199.525806796279</v>
      </c>
      <c r="AG44" s="84"/>
      <c r="AH44" s="118">
        <f t="shared" si="6"/>
        <v>37</v>
      </c>
      <c r="AI44" s="94">
        <f>IF(E$5*$AH44&lt;E$5*E$14,(E$19*E$6*(1+Overview!$B$53)^-(E$5*$AH44)),0)</f>
        <v>0</v>
      </c>
      <c r="AJ44" s="89">
        <f>IF(F$5*$AH44&lt;F$5*F$14,(F$19*F$6*(1+Overview!$B$53)^-(F$5*$AH44)),0)</f>
        <v>0</v>
      </c>
      <c r="AK44" s="95">
        <f>IF(G$5*$AH44&lt;G$5*G$14,(G$19*G$6*(1+Overview!$B$53)^-(G$5*$AH44)),0)</f>
        <v>0</v>
      </c>
      <c r="AL44" s="94">
        <f>IF($AH44=0,0,IF(E$5*$AH44&lt;=E$5*E$14,(E$22*E$6*(1+Overview!$B$53)^-(E$5*$AH44)),0))</f>
        <v>0</v>
      </c>
      <c r="AM44" s="89">
        <f>IF($AH44=0,0,IF(F$5*$AH44&lt;=F$5*F$14,(F$22*F$6*(1+Overview!$B$53)^-(F$5*$AH44)),0))</f>
        <v>0</v>
      </c>
      <c r="AN44" s="95">
        <f>IF($AH44=0,0,IF(G$5*$AH44&lt;=G$5*G$14,(G$22*G$6*(1+Overview!$B$53)^-(G$5*$AH44)),0))</f>
        <v>0</v>
      </c>
      <c r="AO44" s="94">
        <f>IF(E$16&gt;0,IF($AH43*E$14=E$4,-(E$16/E$5)*E$19*E$6*(1+Overview!$B$53)^-E$4+(E$22*E$6*(1+Overview!$B$53)^-E$4),0),0)</f>
        <v>0</v>
      </c>
      <c r="AP44" s="89">
        <f>IF(F$16&gt;0,IF($AH43*F$14=F$4,-(F$16/F$5)*F$19*F$6*(1+Overview!$B$53)^-F$4+(F$22*F$6*(1+Overview!$B$53)^-F$4),0),0)</f>
        <v>0</v>
      </c>
      <c r="AQ44" s="95">
        <f>IF(G$16&gt;0,IF($AH43*G$14=G$4,-(G$16/G$5)*G$19*G$6*(1+Overview!$B$53)^-G$4+(G$22*G$6*(1+Overview!$B$53)^-G$4),0),0)</f>
        <v>0</v>
      </c>
      <c r="AR44" s="84"/>
      <c r="AS44" s="109">
        <f t="shared" si="7"/>
        <v>38</v>
      </c>
      <c r="AT44" s="94">
        <f>IF($AS44&lt;E$4,E$20*E$6*E$11*(1+Overview!$B$53)^-($AS44),0)</f>
        <v>27056.194224174673</v>
      </c>
      <c r="AU44" s="89">
        <f>IF($AS44&lt;F$4,F$20*F$6*F$11*(1+Overview!$B$53)^-($AS44),0)</f>
        <v>13528.097112087336</v>
      </c>
      <c r="AV44" s="89">
        <f>IF($AS44&lt;G$4,G$20*G$6*G$11*(1+Overview!$B$53)^-($AS44),0)</f>
        <v>13528.097112087336</v>
      </c>
      <c r="AW44" s="94">
        <f>IF(E$67=0,IF($AS44&lt;E$4,E$55*(1+Overview!$B$53)^-($AS44),0),IF($AS44&lt;E$4,E$67*(1+Overview!$B$53)^-($AS44),0))</f>
        <v>84266.0344090617</v>
      </c>
      <c r="AX44" s="89">
        <f>IF(F$67=0,IF($AS44&lt;F$4,F$55*(1+Overview!$B$53)^-($AS44),0),IF($AS44&lt;F$4,F$67*(1+Overview!$B$53)^-($AS44),0))</f>
        <v>63199.525806796279</v>
      </c>
      <c r="AY44" s="89">
        <f>IF(G$67=0,IF($AS44&lt;G$4,G$55*(1+Overview!$B$53)^-($AS44),0),IF($AS44&lt;G$4,G$67*(1+Overview!$B$53)^-($AS44),0))</f>
        <v>63199.525806796279</v>
      </c>
      <c r="AZ44" s="89">
        <f>IF(E$68=0,IF($AS44&lt;E$4,E$56*(1+Overview!$B$53)^-($AS44),0),IF($AS44&lt;E$4,E$68*(1+Overview!$B$53)^-($AS44),0))</f>
        <v>0</v>
      </c>
      <c r="BA44" s="89">
        <f>IF(F$68=0,IF($AS44&lt;F$4,F$56*(1+Overview!$B$53)^-($AS44),0),IF($AS44&lt;F$4,F$68*(1+Overview!$B$53)^-($AS44),0))</f>
        <v>0</v>
      </c>
      <c r="BB44" s="89">
        <f>IF(G$68=0,IF($AS44&lt;G$4,G$56*(1+Overview!$B$53)^-($AS44),0),IF($AS44&lt;G$4,G$68*(1+Overview!$B$53)^-($AS44),0))</f>
        <v>0</v>
      </c>
      <c r="BC44" s="89">
        <f>IF(E$69=0,IF($AS44&lt;E$4,E$57*(1+Overview!$B$53)^-($AS44),0),IF($AS44&lt;E$4,E$69*(1+Overview!$B$53)^-($AS44),0))</f>
        <v>0</v>
      </c>
      <c r="BD44" s="89">
        <f>IF(F$69=0,IF($AS44&lt;F$4,F$57*(1+Overview!$B$53)^-($AS44),0),IF($AS44&lt;F$4,F$69*(1+Overview!$B$53)^-($AS44),0))</f>
        <v>0</v>
      </c>
      <c r="BE44" s="95">
        <f>IF(G$69=0,IF($AS44&lt;G$4,G$57*(1+Overview!$B$53)^-($AS44),0),IF($AS44&lt;G$4,G$69*(1+Overview!$B$53)^-($AS44),0))</f>
        <v>0</v>
      </c>
      <c r="BF44" s="1"/>
    </row>
    <row r="45" spans="1:58" x14ac:dyDescent="0.3">
      <c r="A45" s="33"/>
      <c r="B45" s="189"/>
      <c r="C45" s="189" t="s">
        <v>110</v>
      </c>
      <c r="D45" s="189" t="s">
        <v>105</v>
      </c>
      <c r="E45" s="198">
        <f t="shared" si="14"/>
        <v>0</v>
      </c>
      <c r="F45" s="199">
        <f t="shared" si="14"/>
        <v>0</v>
      </c>
      <c r="G45" s="200">
        <f t="shared" si="14"/>
        <v>0</v>
      </c>
      <c r="H45" s="194" t="s">
        <v>60</v>
      </c>
      <c r="I45" s="70"/>
      <c r="J45" s="70"/>
      <c r="K45" s="139"/>
      <c r="L45" s="33"/>
      <c r="M45" s="33"/>
      <c r="N45" s="33"/>
      <c r="O45" s="33"/>
      <c r="P45" s="144"/>
      <c r="R45" s="118">
        <f t="shared" si="4"/>
        <v>38</v>
      </c>
      <c r="S45" s="94">
        <f t="shared" si="9"/>
        <v>0</v>
      </c>
      <c r="T45" s="89">
        <f t="shared" si="9"/>
        <v>0</v>
      </c>
      <c r="U45" s="95">
        <f t="shared" si="9"/>
        <v>0</v>
      </c>
      <c r="V45" s="94">
        <f t="shared" si="10"/>
        <v>0</v>
      </c>
      <c r="W45" s="89">
        <f t="shared" si="10"/>
        <v>0</v>
      </c>
      <c r="X45" s="95">
        <f t="shared" si="10"/>
        <v>0</v>
      </c>
      <c r="Y45" s="89"/>
      <c r="Z45" s="118">
        <f t="shared" si="5"/>
        <v>39</v>
      </c>
      <c r="AA45" s="94">
        <f t="shared" si="11"/>
        <v>26141.250458139788</v>
      </c>
      <c r="AB45" s="89">
        <f t="shared" si="11"/>
        <v>13070.625229069894</v>
      </c>
      <c r="AC45" s="95">
        <f t="shared" si="11"/>
        <v>13070.625229069894</v>
      </c>
      <c r="AD45" s="94">
        <f t="shared" si="12"/>
        <v>81416.458366243212</v>
      </c>
      <c r="AE45" s="89">
        <f t="shared" si="12"/>
        <v>61062.343774682406</v>
      </c>
      <c r="AF45" s="95">
        <f t="shared" si="12"/>
        <v>61062.343774682406</v>
      </c>
      <c r="AG45" s="84"/>
      <c r="AH45" s="118">
        <f t="shared" si="6"/>
        <v>38</v>
      </c>
      <c r="AI45" s="94">
        <f>IF(E$5*$AH45&lt;E$5*E$14,(E$19*E$6*(1+Overview!$B$53)^-(E$5*$AH45)),0)</f>
        <v>0</v>
      </c>
      <c r="AJ45" s="89">
        <f>IF(F$5*$AH45&lt;F$5*F$14,(F$19*F$6*(1+Overview!$B$53)^-(F$5*$AH45)),0)</f>
        <v>0</v>
      </c>
      <c r="AK45" s="95">
        <f>IF(G$5*$AH45&lt;G$5*G$14,(G$19*G$6*(1+Overview!$B$53)^-(G$5*$AH45)),0)</f>
        <v>0</v>
      </c>
      <c r="AL45" s="94">
        <f>IF($AH45=0,0,IF(E$5*$AH45&lt;=E$5*E$14,(E$22*E$6*(1+Overview!$B$53)^-(E$5*$AH45)),0))</f>
        <v>0</v>
      </c>
      <c r="AM45" s="89">
        <f>IF($AH45=0,0,IF(F$5*$AH45&lt;=F$5*F$14,(F$22*F$6*(1+Overview!$B$53)^-(F$5*$AH45)),0))</f>
        <v>0</v>
      </c>
      <c r="AN45" s="95">
        <f>IF($AH45=0,0,IF(G$5*$AH45&lt;=G$5*G$14,(G$22*G$6*(1+Overview!$B$53)^-(G$5*$AH45)),0))</f>
        <v>0</v>
      </c>
      <c r="AO45" s="94">
        <f>IF(E$16&gt;0,IF($AH44*E$14=E$4,-(E$16/E$5)*E$19*E$6*(1+Overview!$B$53)^-E$4+(E$22*E$6*(1+Overview!$B$53)^-E$4),0),0)</f>
        <v>0</v>
      </c>
      <c r="AP45" s="89">
        <f>IF(F$16&gt;0,IF($AH44*F$14=F$4,-(F$16/F$5)*F$19*F$6*(1+Overview!$B$53)^-F$4+(F$22*F$6*(1+Overview!$B$53)^-F$4),0),0)</f>
        <v>0</v>
      </c>
      <c r="AQ45" s="95">
        <f>IF(G$16&gt;0,IF($AH44*G$14=G$4,-(G$16/G$5)*G$19*G$6*(1+Overview!$B$53)^-G$4+(G$22*G$6*(1+Overview!$B$53)^-G$4),0),0)</f>
        <v>0</v>
      </c>
      <c r="AR45" s="84"/>
      <c r="AS45" s="109">
        <f t="shared" si="7"/>
        <v>39</v>
      </c>
      <c r="AT45" s="94">
        <f>IF($AS45&lt;E$4,E$20*E$6*E$11*(1+Overview!$B$53)^-($AS45),0)</f>
        <v>26141.250458139788</v>
      </c>
      <c r="AU45" s="89">
        <f>IF($AS45&lt;F$4,F$20*F$6*F$11*(1+Overview!$B$53)^-($AS45),0)</f>
        <v>13070.625229069894</v>
      </c>
      <c r="AV45" s="89">
        <f>IF($AS45&lt;G$4,G$20*G$6*G$11*(1+Overview!$B$53)^-($AS45),0)</f>
        <v>13070.625229069894</v>
      </c>
      <c r="AW45" s="94">
        <f>IF(E$67=0,IF($AS45&lt;E$4,E$55*(1+Overview!$B$53)^-($AS45),0),IF($AS45&lt;E$4,E$67*(1+Overview!$B$53)^-($AS45),0))</f>
        <v>81416.458366243212</v>
      </c>
      <c r="AX45" s="89">
        <f>IF(F$67=0,IF($AS45&lt;F$4,F$55*(1+Overview!$B$53)^-($AS45),0),IF($AS45&lt;F$4,F$67*(1+Overview!$B$53)^-($AS45),0))</f>
        <v>61062.343774682406</v>
      </c>
      <c r="AY45" s="89">
        <f>IF(G$67=0,IF($AS45&lt;G$4,G$55*(1+Overview!$B$53)^-($AS45),0),IF($AS45&lt;G$4,G$67*(1+Overview!$B$53)^-($AS45),0))</f>
        <v>61062.343774682406</v>
      </c>
      <c r="AZ45" s="89">
        <f>IF(E$68=0,IF($AS45&lt;E$4,E$56*(1+Overview!$B$53)^-($AS45),0),IF($AS45&lt;E$4,E$68*(1+Overview!$B$53)^-($AS45),0))</f>
        <v>0</v>
      </c>
      <c r="BA45" s="89">
        <f>IF(F$68=0,IF($AS45&lt;F$4,F$56*(1+Overview!$B$53)^-($AS45),0),IF($AS45&lt;F$4,F$68*(1+Overview!$B$53)^-($AS45),0))</f>
        <v>0</v>
      </c>
      <c r="BB45" s="89">
        <f>IF(G$68=0,IF($AS45&lt;G$4,G$56*(1+Overview!$B$53)^-($AS45),0),IF($AS45&lt;G$4,G$68*(1+Overview!$B$53)^-($AS45),0))</f>
        <v>0</v>
      </c>
      <c r="BC45" s="89">
        <f>IF(E$69=0,IF($AS45&lt;E$4,E$57*(1+Overview!$B$53)^-($AS45),0),IF($AS45&lt;E$4,E$69*(1+Overview!$B$53)^-($AS45),0))</f>
        <v>0</v>
      </c>
      <c r="BD45" s="89">
        <f>IF(F$69=0,IF($AS45&lt;F$4,F$57*(1+Overview!$B$53)^-($AS45),0),IF($AS45&lt;F$4,F$69*(1+Overview!$B$53)^-($AS45),0))</f>
        <v>0</v>
      </c>
      <c r="BE45" s="95">
        <f>IF(G$69=0,IF($AS45&lt;G$4,G$57*(1+Overview!$B$53)^-($AS45),0),IF($AS45&lt;G$4,G$69*(1+Overview!$B$53)^-($AS45),0))</f>
        <v>0</v>
      </c>
      <c r="BF45" s="1"/>
    </row>
    <row r="46" spans="1:58" x14ac:dyDescent="0.3">
      <c r="A46" s="33"/>
      <c r="B46" s="189"/>
      <c r="C46" s="189"/>
      <c r="D46" s="189"/>
      <c r="E46" s="205"/>
      <c r="F46" s="205"/>
      <c r="G46" s="205"/>
      <c r="H46" s="189"/>
      <c r="I46" s="128"/>
      <c r="J46" s="128"/>
      <c r="K46" s="141"/>
      <c r="L46" s="105"/>
      <c r="M46" s="106"/>
      <c r="N46" s="106"/>
      <c r="O46" s="106"/>
      <c r="P46" s="149"/>
      <c r="R46" s="118">
        <f t="shared" si="4"/>
        <v>39</v>
      </c>
      <c r="S46" s="94">
        <f t="shared" si="9"/>
        <v>0</v>
      </c>
      <c r="T46" s="89">
        <f t="shared" si="9"/>
        <v>0</v>
      </c>
      <c r="U46" s="95">
        <f t="shared" si="9"/>
        <v>0</v>
      </c>
      <c r="V46" s="94">
        <f t="shared" si="10"/>
        <v>0</v>
      </c>
      <c r="W46" s="89">
        <f t="shared" si="10"/>
        <v>0</v>
      </c>
      <c r="X46" s="95">
        <f t="shared" si="10"/>
        <v>0</v>
      </c>
      <c r="Y46" s="89"/>
      <c r="Z46" s="118">
        <f t="shared" si="5"/>
        <v>40</v>
      </c>
      <c r="AA46" s="94">
        <f t="shared" si="11"/>
        <v>25257.246819458735</v>
      </c>
      <c r="AB46" s="89">
        <f t="shared" si="11"/>
        <v>12628.623409729367</v>
      </c>
      <c r="AC46" s="95">
        <f t="shared" si="11"/>
        <v>12628.623409729367</v>
      </c>
      <c r="AD46" s="94">
        <f t="shared" si="12"/>
        <v>78663.244798302636</v>
      </c>
      <c r="AE46" s="89">
        <f t="shared" si="12"/>
        <v>58997.433598726966</v>
      </c>
      <c r="AF46" s="95">
        <f t="shared" si="12"/>
        <v>58997.433598726966</v>
      </c>
      <c r="AG46" s="84"/>
      <c r="AH46" s="118">
        <f t="shared" si="6"/>
        <v>39</v>
      </c>
      <c r="AI46" s="94">
        <f>IF(E$5*$AH46&lt;E$5*E$14,(E$19*E$6*(1+Overview!$B$53)^-(E$5*$AH46)),0)</f>
        <v>0</v>
      </c>
      <c r="AJ46" s="89">
        <f>IF(F$5*$AH46&lt;F$5*F$14,(F$19*F$6*(1+Overview!$B$53)^-(F$5*$AH46)),0)</f>
        <v>0</v>
      </c>
      <c r="AK46" s="95">
        <f>IF(G$5*$AH46&lt;G$5*G$14,(G$19*G$6*(1+Overview!$B$53)^-(G$5*$AH46)),0)</f>
        <v>0</v>
      </c>
      <c r="AL46" s="94">
        <f>IF($AH46=0,0,IF(E$5*$AH46&lt;=E$5*E$14,(E$22*E$6*(1+Overview!$B$53)^-(E$5*$AH46)),0))</f>
        <v>0</v>
      </c>
      <c r="AM46" s="89">
        <f>IF($AH46=0,0,IF(F$5*$AH46&lt;=F$5*F$14,(F$22*F$6*(1+Overview!$B$53)^-(F$5*$AH46)),0))</f>
        <v>0</v>
      </c>
      <c r="AN46" s="95">
        <f>IF($AH46=0,0,IF(G$5*$AH46&lt;=G$5*G$14,(G$22*G$6*(1+Overview!$B$53)^-(G$5*$AH46)),0))</f>
        <v>0</v>
      </c>
      <c r="AO46" s="94">
        <f>IF(E$16&gt;0,IF($AH45*E$14=E$4,-(E$16/E$5)*E$19*E$6*(1+Overview!$B$53)^-E$4+(E$22*E$6*(1+Overview!$B$53)^-E$4),0),0)</f>
        <v>0</v>
      </c>
      <c r="AP46" s="89">
        <f>IF(F$16&gt;0,IF($AH45*F$14=F$4,-(F$16/F$5)*F$19*F$6*(1+Overview!$B$53)^-F$4+(F$22*F$6*(1+Overview!$B$53)^-F$4),0),0)</f>
        <v>0</v>
      </c>
      <c r="AQ46" s="95">
        <f>IF(G$16&gt;0,IF($AH45*G$14=G$4,-(G$16/G$5)*G$19*G$6*(1+Overview!$B$53)^-G$4+(G$22*G$6*(1+Overview!$B$53)^-G$4),0),0)</f>
        <v>0</v>
      </c>
      <c r="AR46" s="84"/>
      <c r="AS46" s="109">
        <f t="shared" si="7"/>
        <v>40</v>
      </c>
      <c r="AT46" s="94">
        <f>IF($AS46&lt;E$4,E$20*E$6*E$11*(1+Overview!$B$53)^-($AS46),0)</f>
        <v>25257.246819458735</v>
      </c>
      <c r="AU46" s="89">
        <f>IF($AS46&lt;F$4,F$20*F$6*F$11*(1+Overview!$B$53)^-($AS46),0)</f>
        <v>12628.623409729367</v>
      </c>
      <c r="AV46" s="89">
        <f>IF($AS46&lt;G$4,G$20*G$6*G$11*(1+Overview!$B$53)^-($AS46),0)</f>
        <v>12628.623409729367</v>
      </c>
      <c r="AW46" s="94">
        <f>IF(E$67=0,IF($AS46&lt;E$4,E$55*(1+Overview!$B$53)^-($AS46),0),IF($AS46&lt;E$4,E$67*(1+Overview!$B$53)^-($AS46),0))</f>
        <v>78663.244798302636</v>
      </c>
      <c r="AX46" s="89">
        <f>IF(F$67=0,IF($AS46&lt;F$4,F$55*(1+Overview!$B$53)^-($AS46),0),IF($AS46&lt;F$4,F$67*(1+Overview!$B$53)^-($AS46),0))</f>
        <v>58997.433598726966</v>
      </c>
      <c r="AY46" s="89">
        <f>IF(G$67=0,IF($AS46&lt;G$4,G$55*(1+Overview!$B$53)^-($AS46),0),IF($AS46&lt;G$4,G$67*(1+Overview!$B$53)^-($AS46),0))</f>
        <v>58997.433598726966</v>
      </c>
      <c r="AZ46" s="89">
        <f>IF(E$68=0,IF($AS46&lt;E$4,E$56*(1+Overview!$B$53)^-($AS46),0),IF($AS46&lt;E$4,E$68*(1+Overview!$B$53)^-($AS46),0))</f>
        <v>0</v>
      </c>
      <c r="BA46" s="89">
        <f>IF(F$68=0,IF($AS46&lt;F$4,F$56*(1+Overview!$B$53)^-($AS46),0),IF($AS46&lt;F$4,F$68*(1+Overview!$B$53)^-($AS46),0))</f>
        <v>0</v>
      </c>
      <c r="BB46" s="89">
        <f>IF(G$68=0,IF($AS46&lt;G$4,G$56*(1+Overview!$B$53)^-($AS46),0),IF($AS46&lt;G$4,G$68*(1+Overview!$B$53)^-($AS46),0))</f>
        <v>0</v>
      </c>
      <c r="BC46" s="89">
        <f>IF(E$69=0,IF($AS46&lt;E$4,E$57*(1+Overview!$B$53)^-($AS46),0),IF($AS46&lt;E$4,E$69*(1+Overview!$B$53)^-($AS46),0))</f>
        <v>0</v>
      </c>
      <c r="BD46" s="89">
        <f>IF(F$69=0,IF($AS46&lt;F$4,F$57*(1+Overview!$B$53)^-($AS46),0),IF($AS46&lt;F$4,F$69*(1+Overview!$B$53)^-($AS46),0))</f>
        <v>0</v>
      </c>
      <c r="BE46" s="95">
        <f>IF(G$69=0,IF($AS46&lt;G$4,G$57*(1+Overview!$B$53)^-($AS46),0),IF($AS46&lt;G$4,G$69*(1+Overview!$B$53)^-($AS46),0))</f>
        <v>0</v>
      </c>
      <c r="BF46" s="1"/>
    </row>
    <row r="47" spans="1:58" x14ac:dyDescent="0.3">
      <c r="A47" s="33"/>
      <c r="B47" s="188" t="s">
        <v>113</v>
      </c>
      <c r="C47" s="189" t="s">
        <v>114</v>
      </c>
      <c r="D47" s="189" t="s">
        <v>115</v>
      </c>
      <c r="E47" s="201">
        <f>IF(E39="",E36*VLOOKUP(Overview!$B$45,'Train disturbance parameters'!$B$6:$C$24,2,FALSE),'LCC calculation'!E39*VLOOKUP(Overview!$B$45,'Train disturbance parameters'!$B$6:$C$24,2,FALSE))</f>
        <v>72354.465000000011</v>
      </c>
      <c r="F47" s="202">
        <f>IF(F39="",F36*VLOOKUP(Overview!$B$45,'Train disturbance parameters'!$B$6:$C$24,2,FALSE),'LCC calculation'!F39*VLOOKUP(Overview!$B$45,'Train disturbance parameters'!$B$6:$C$24,2,FALSE))</f>
        <v>72354.465000000011</v>
      </c>
      <c r="G47" s="203">
        <f>IF(G39="",G36*VLOOKUP(Overview!$B$45,'Train disturbance parameters'!$B$6:$C$24,2,FALSE),'LCC calculation'!G39*VLOOKUP(Overview!$B$45,'Train disturbance parameters'!$B$6:$C$24,2,FALSE))</f>
        <v>72354.465000000011</v>
      </c>
      <c r="H47" s="194" t="s">
        <v>60</v>
      </c>
      <c r="I47" s="70"/>
      <c r="J47" s="70"/>
      <c r="K47" s="139"/>
      <c r="L47" s="33"/>
      <c r="M47" s="106"/>
      <c r="N47" s="106"/>
      <c r="O47" s="106"/>
      <c r="P47" s="149"/>
      <c r="R47" s="118">
        <f t="shared" si="4"/>
        <v>40</v>
      </c>
      <c r="S47" s="94">
        <f t="shared" ref="S47:U66" si="15">SUMIF($AI$6:$AK$6,S$6,$AI47:$AK47)</f>
        <v>0</v>
      </c>
      <c r="T47" s="89">
        <f t="shared" si="15"/>
        <v>0</v>
      </c>
      <c r="U47" s="95">
        <f t="shared" si="15"/>
        <v>0</v>
      </c>
      <c r="V47" s="94">
        <f t="shared" ref="V47:X66" si="16">SUMIF($AL$6:$AQ$6,V$6,$AL47:$AQ47)</f>
        <v>0</v>
      </c>
      <c r="W47" s="89">
        <f t="shared" si="16"/>
        <v>0</v>
      </c>
      <c r="X47" s="95">
        <f t="shared" si="16"/>
        <v>0</v>
      </c>
      <c r="Y47" s="89"/>
      <c r="Z47" s="118">
        <f t="shared" si="5"/>
        <v>41</v>
      </c>
      <c r="AA47" s="94">
        <f t="shared" ref="AA47:AC66" si="17">SUMIF($AT$6:$AV$6,AA$6,$AT47:$AV47)</f>
        <v>24403.137023631632</v>
      </c>
      <c r="AB47" s="89">
        <f t="shared" si="17"/>
        <v>12201.568511815816</v>
      </c>
      <c r="AC47" s="95">
        <f t="shared" si="17"/>
        <v>12201.568511815816</v>
      </c>
      <c r="AD47" s="94">
        <f t="shared" ref="AD47:AF66" si="18">SUMIF($AW$6:$BE$6,AD$6,$AW47:$BE47)</f>
        <v>76003.135070823817</v>
      </c>
      <c r="AE47" s="89">
        <f t="shared" si="18"/>
        <v>57002.351303117859</v>
      </c>
      <c r="AF47" s="95">
        <f t="shared" si="18"/>
        <v>57002.351303117859</v>
      </c>
      <c r="AG47" s="84"/>
      <c r="AH47" s="118">
        <f t="shared" si="6"/>
        <v>40</v>
      </c>
      <c r="AI47" s="94">
        <f>IF(E$5*$AH47&lt;E$5*E$14,(E$19*E$6*(1+Overview!$B$53)^-(E$5*$AH47)),0)</f>
        <v>0</v>
      </c>
      <c r="AJ47" s="89">
        <f>IF(F$5*$AH47&lt;F$5*F$14,(F$19*F$6*(1+Overview!$B$53)^-(F$5*$AH47)),0)</f>
        <v>0</v>
      </c>
      <c r="AK47" s="95">
        <f>IF(G$5*$AH47&lt;G$5*G$14,(G$19*G$6*(1+Overview!$B$53)^-(G$5*$AH47)),0)</f>
        <v>0</v>
      </c>
      <c r="AL47" s="94">
        <f>IF($AH47=0,0,IF(E$5*$AH47&lt;=E$5*E$14,(E$22*E$6*(1+Overview!$B$53)^-(E$5*$AH47)),0))</f>
        <v>0</v>
      </c>
      <c r="AM47" s="89">
        <f>IF($AH47=0,0,IF(F$5*$AH47&lt;=F$5*F$14,(F$22*F$6*(1+Overview!$B$53)^-(F$5*$AH47)),0))</f>
        <v>0</v>
      </c>
      <c r="AN47" s="95">
        <f>IF($AH47=0,0,IF(G$5*$AH47&lt;=G$5*G$14,(G$22*G$6*(1+Overview!$B$53)^-(G$5*$AH47)),0))</f>
        <v>0</v>
      </c>
      <c r="AO47" s="94">
        <f>IF(E$16&gt;0,IF($AH46*E$14=E$4,-(E$16/E$5)*E$19*E$6*(1+Overview!$B$53)^-E$4+(E$22*E$6*(1+Overview!$B$53)^-E$4),0),0)</f>
        <v>0</v>
      </c>
      <c r="AP47" s="89">
        <f>IF(F$16&gt;0,IF($AH46*F$14=F$4,-(F$16/F$5)*F$19*F$6*(1+Overview!$B$53)^-F$4+(F$22*F$6*(1+Overview!$B$53)^-F$4),0),0)</f>
        <v>0</v>
      </c>
      <c r="AQ47" s="95">
        <f>IF(G$16&gt;0,IF($AH46*G$14=G$4,-(G$16/G$5)*G$19*G$6*(1+Overview!$B$53)^-G$4+(G$22*G$6*(1+Overview!$B$53)^-G$4),0),0)</f>
        <v>0</v>
      </c>
      <c r="AR47" s="84"/>
      <c r="AS47" s="109">
        <f t="shared" si="7"/>
        <v>41</v>
      </c>
      <c r="AT47" s="94">
        <f>IF($AS47&lt;E$4,E$20*E$6*E$11*(1+Overview!$B$53)^-($AS47),0)</f>
        <v>24403.137023631632</v>
      </c>
      <c r="AU47" s="89">
        <f>IF($AS47&lt;F$4,F$20*F$6*F$11*(1+Overview!$B$53)^-($AS47),0)</f>
        <v>12201.568511815816</v>
      </c>
      <c r="AV47" s="89">
        <f>IF($AS47&lt;G$4,G$20*G$6*G$11*(1+Overview!$B$53)^-($AS47),0)</f>
        <v>12201.568511815816</v>
      </c>
      <c r="AW47" s="94">
        <f>IF(E$67=0,IF($AS47&lt;E$4,E$55*(1+Overview!$B$53)^-($AS47),0),IF($AS47&lt;E$4,E$67*(1+Overview!$B$53)^-($AS47),0))</f>
        <v>76003.135070823817</v>
      </c>
      <c r="AX47" s="89">
        <f>IF(F$67=0,IF($AS47&lt;F$4,F$55*(1+Overview!$B$53)^-($AS47),0),IF($AS47&lt;F$4,F$67*(1+Overview!$B$53)^-($AS47),0))</f>
        <v>57002.351303117859</v>
      </c>
      <c r="AY47" s="89">
        <f>IF(G$67=0,IF($AS47&lt;G$4,G$55*(1+Overview!$B$53)^-($AS47),0),IF($AS47&lt;G$4,G$67*(1+Overview!$B$53)^-($AS47),0))</f>
        <v>57002.351303117859</v>
      </c>
      <c r="AZ47" s="89">
        <f>IF(E$68=0,IF($AS47&lt;E$4,E$56*(1+Overview!$B$53)^-($AS47),0),IF($AS47&lt;E$4,E$68*(1+Overview!$B$53)^-($AS47),0))</f>
        <v>0</v>
      </c>
      <c r="BA47" s="89">
        <f>IF(F$68=0,IF($AS47&lt;F$4,F$56*(1+Overview!$B$53)^-($AS47),0),IF($AS47&lt;F$4,F$68*(1+Overview!$B$53)^-($AS47),0))</f>
        <v>0</v>
      </c>
      <c r="BB47" s="89">
        <f>IF(G$68=0,IF($AS47&lt;G$4,G$56*(1+Overview!$B$53)^-($AS47),0),IF($AS47&lt;G$4,G$68*(1+Overview!$B$53)^-($AS47),0))</f>
        <v>0</v>
      </c>
      <c r="BC47" s="89">
        <f>IF(E$69=0,IF($AS47&lt;E$4,E$57*(1+Overview!$B$53)^-($AS47),0),IF($AS47&lt;E$4,E$69*(1+Overview!$B$53)^-($AS47),0))</f>
        <v>0</v>
      </c>
      <c r="BD47" s="89">
        <f>IF(F$69=0,IF($AS47&lt;F$4,F$57*(1+Overview!$B$53)^-($AS47),0),IF($AS47&lt;F$4,F$69*(1+Overview!$B$53)^-($AS47),0))</f>
        <v>0</v>
      </c>
      <c r="BE47" s="95">
        <f>IF(G$69=0,IF($AS47&lt;G$4,G$57*(1+Overview!$B$53)^-($AS47),0),IF($AS47&lt;G$4,G$69*(1+Overview!$B$53)^-($AS47),0))</f>
        <v>0</v>
      </c>
      <c r="BF47" s="1"/>
    </row>
    <row r="48" spans="1:58" x14ac:dyDescent="0.3">
      <c r="A48" s="33"/>
      <c r="B48" s="189"/>
      <c r="C48" s="189" t="s">
        <v>117</v>
      </c>
      <c r="D48" s="189" t="s">
        <v>115</v>
      </c>
      <c r="E48" s="201">
        <f>IF(E40="",E37*VLOOKUP(Overview!$B$47,'Train disturbance parameters'!$B$6:$C$24,2,FALSE),'LCC calculation'!E40*VLOOKUP(Overview!$B$47,'Train disturbance parameters'!$B$6:$C$24,2,FALSE))</f>
        <v>55706.535000000003</v>
      </c>
      <c r="F48" s="202">
        <f>IF(F40="",F37*VLOOKUP(Overview!$B$47,'Train disturbance parameters'!$B$6:$C$24,2,FALSE),'LCC calculation'!F40*VLOOKUP(Overview!$B$47,'Train disturbance parameters'!$B$6:$C$24,2,FALSE))</f>
        <v>55706.535000000003</v>
      </c>
      <c r="G48" s="203">
        <f>IF(G40="",G37*VLOOKUP(Overview!$B$47,'Train disturbance parameters'!$B$6:$C$24,2,FALSE),'LCC calculation'!G40*VLOOKUP(Overview!$B$47,'Train disturbance parameters'!$B$6:$C$24,2,FALSE))</f>
        <v>55706.535000000003</v>
      </c>
      <c r="H48" s="194" t="s">
        <v>60</v>
      </c>
      <c r="I48" s="70"/>
      <c r="J48" s="70"/>
      <c r="K48" s="139"/>
      <c r="L48" s="33"/>
      <c r="M48" s="106"/>
      <c r="N48" s="106"/>
      <c r="O48" s="106"/>
      <c r="P48" s="149"/>
      <c r="R48" s="118">
        <f t="shared" si="4"/>
        <v>41</v>
      </c>
      <c r="S48" s="94">
        <f t="shared" si="15"/>
        <v>0</v>
      </c>
      <c r="T48" s="89">
        <f t="shared" si="15"/>
        <v>0</v>
      </c>
      <c r="U48" s="95">
        <f t="shared" si="15"/>
        <v>0</v>
      </c>
      <c r="V48" s="94">
        <f t="shared" si="16"/>
        <v>0</v>
      </c>
      <c r="W48" s="89">
        <f t="shared" si="16"/>
        <v>0</v>
      </c>
      <c r="X48" s="95">
        <f t="shared" si="16"/>
        <v>0</v>
      </c>
      <c r="Y48" s="89"/>
      <c r="Z48" s="118">
        <f t="shared" si="5"/>
        <v>42</v>
      </c>
      <c r="AA48" s="94">
        <f t="shared" si="17"/>
        <v>23577.91016776003</v>
      </c>
      <c r="AB48" s="89">
        <f t="shared" si="17"/>
        <v>11788.955083880015</v>
      </c>
      <c r="AC48" s="95">
        <f t="shared" si="17"/>
        <v>11788.955083880015</v>
      </c>
      <c r="AD48" s="94">
        <f t="shared" si="18"/>
        <v>73432.980744757311</v>
      </c>
      <c r="AE48" s="89">
        <f t="shared" si="18"/>
        <v>55074.735558567976</v>
      </c>
      <c r="AF48" s="95">
        <f t="shared" si="18"/>
        <v>55074.735558567976</v>
      </c>
      <c r="AG48" s="84"/>
      <c r="AH48" s="118">
        <f t="shared" si="6"/>
        <v>41</v>
      </c>
      <c r="AI48" s="94">
        <f>IF(E$5*$AH48&lt;E$5*E$14,(E$19*E$6*(1+Overview!$B$53)^-(E$5*$AH48)),0)</f>
        <v>0</v>
      </c>
      <c r="AJ48" s="89">
        <f>IF(F$5*$AH48&lt;F$5*F$14,(F$19*F$6*(1+Overview!$B$53)^-(F$5*$AH48)),0)</f>
        <v>0</v>
      </c>
      <c r="AK48" s="95">
        <f>IF(G$5*$AH48&lt;G$5*G$14,(G$19*G$6*(1+Overview!$B$53)^-(G$5*$AH48)),0)</f>
        <v>0</v>
      </c>
      <c r="AL48" s="94">
        <f>IF($AH48=0,0,IF(E$5*$AH48&lt;=E$5*E$14,(E$22*E$6*(1+Overview!$B$53)^-(E$5*$AH48)),0))</f>
        <v>0</v>
      </c>
      <c r="AM48" s="89">
        <f>IF($AH48=0,0,IF(F$5*$AH48&lt;=F$5*F$14,(F$22*F$6*(1+Overview!$B$53)^-(F$5*$AH48)),0))</f>
        <v>0</v>
      </c>
      <c r="AN48" s="95">
        <f>IF($AH48=0,0,IF(G$5*$AH48&lt;=G$5*G$14,(G$22*G$6*(1+Overview!$B$53)^-(G$5*$AH48)),0))</f>
        <v>0</v>
      </c>
      <c r="AO48" s="94">
        <f>IF(E$16&gt;0,IF($AH47*E$14=E$4,-(E$16/E$5)*E$19*E$6*(1+Overview!$B$53)^-E$4+(E$22*E$6*(1+Overview!$B$53)^-E$4),0),0)</f>
        <v>0</v>
      </c>
      <c r="AP48" s="89">
        <f>IF(F$16&gt;0,IF($AH47*F$14=F$4,-(F$16/F$5)*F$19*F$6*(1+Overview!$B$53)^-F$4+(F$22*F$6*(1+Overview!$B$53)^-F$4),0),0)</f>
        <v>0</v>
      </c>
      <c r="AQ48" s="95">
        <f>IF(G$16&gt;0,IF($AH47*G$14=G$4,-(G$16/G$5)*G$19*G$6*(1+Overview!$B$53)^-G$4+(G$22*G$6*(1+Overview!$B$53)^-G$4),0),0)</f>
        <v>0</v>
      </c>
      <c r="AR48" s="84"/>
      <c r="AS48" s="109">
        <f t="shared" si="7"/>
        <v>42</v>
      </c>
      <c r="AT48" s="94">
        <f>IF($AS48&lt;E$4,E$20*E$6*E$11*(1+Overview!$B$53)^-($AS48),0)</f>
        <v>23577.91016776003</v>
      </c>
      <c r="AU48" s="89">
        <f>IF($AS48&lt;F$4,F$20*F$6*F$11*(1+Overview!$B$53)^-($AS48),0)</f>
        <v>11788.955083880015</v>
      </c>
      <c r="AV48" s="89">
        <f>IF($AS48&lt;G$4,G$20*G$6*G$11*(1+Overview!$B$53)^-($AS48),0)</f>
        <v>11788.955083880015</v>
      </c>
      <c r="AW48" s="94">
        <f>IF(E$67=0,IF($AS48&lt;E$4,E$55*(1+Overview!$B$53)^-($AS48),0),IF($AS48&lt;E$4,E$67*(1+Overview!$B$53)^-($AS48),0))</f>
        <v>73432.980744757311</v>
      </c>
      <c r="AX48" s="89">
        <f>IF(F$67=0,IF($AS48&lt;F$4,F$55*(1+Overview!$B$53)^-($AS48),0),IF($AS48&lt;F$4,F$67*(1+Overview!$B$53)^-($AS48),0))</f>
        <v>55074.735558567976</v>
      </c>
      <c r="AY48" s="89">
        <f>IF(G$67=0,IF($AS48&lt;G$4,G$55*(1+Overview!$B$53)^-($AS48),0),IF($AS48&lt;G$4,G$67*(1+Overview!$B$53)^-($AS48),0))</f>
        <v>55074.735558567976</v>
      </c>
      <c r="AZ48" s="89">
        <f>IF(E$68=0,IF($AS48&lt;E$4,E$56*(1+Overview!$B$53)^-($AS48),0),IF($AS48&lt;E$4,E$68*(1+Overview!$B$53)^-($AS48),0))</f>
        <v>0</v>
      </c>
      <c r="BA48" s="89">
        <f>IF(F$68=0,IF($AS48&lt;F$4,F$56*(1+Overview!$B$53)^-($AS48),0),IF($AS48&lt;F$4,F$68*(1+Overview!$B$53)^-($AS48),0))</f>
        <v>0</v>
      </c>
      <c r="BB48" s="89">
        <f>IF(G$68=0,IF($AS48&lt;G$4,G$56*(1+Overview!$B$53)^-($AS48),0),IF($AS48&lt;G$4,G$68*(1+Overview!$B$53)^-($AS48),0))</f>
        <v>0</v>
      </c>
      <c r="BC48" s="89">
        <f>IF(E$69=0,IF($AS48&lt;E$4,E$57*(1+Overview!$B$53)^-($AS48),0),IF($AS48&lt;E$4,E$69*(1+Overview!$B$53)^-($AS48),0))</f>
        <v>0</v>
      </c>
      <c r="BD48" s="89">
        <f>IF(F$69=0,IF($AS48&lt;F$4,F$57*(1+Overview!$B$53)^-($AS48),0),IF($AS48&lt;F$4,F$69*(1+Overview!$B$53)^-($AS48),0))</f>
        <v>0</v>
      </c>
      <c r="BE48" s="95">
        <f>IF(G$69=0,IF($AS48&lt;G$4,G$57*(1+Overview!$B$53)^-($AS48),0),IF($AS48&lt;G$4,G$69*(1+Overview!$B$53)^-($AS48),0))</f>
        <v>0</v>
      </c>
      <c r="BF48" s="1"/>
    </row>
    <row r="49" spans="1:58" x14ac:dyDescent="0.3">
      <c r="A49" s="33"/>
      <c r="B49" s="189"/>
      <c r="C49" s="189" t="s">
        <v>119</v>
      </c>
      <c r="D49" s="189" t="s">
        <v>115</v>
      </c>
      <c r="E49" s="201">
        <f>IF(E41="",E38*VLOOKUP(Overview!$B$49,'Train disturbance parameters'!$B$6:$C$24,2,FALSE),'LCC calculation'!E41*VLOOKUP(Overview!$B$49,'Train disturbance parameters'!$B$6:$C$24,2,FALSE))</f>
        <v>76777.3125</v>
      </c>
      <c r="F49" s="202">
        <f>IF(F41="",F38*VLOOKUP(Overview!$B$49,'Train disturbance parameters'!$B$6:$C$24,2,FALSE),'LCC calculation'!F41*VLOOKUP(Overview!$B$49,'Train disturbance parameters'!$B$6:$C$24,2,FALSE))</f>
        <v>76777.3125</v>
      </c>
      <c r="G49" s="203">
        <f>IF(G41="",G38*VLOOKUP(Overview!$B$49,'Train disturbance parameters'!$B$6:$C$24,2,FALSE),'LCC calculation'!G41*VLOOKUP(Overview!$B$49,'Train disturbance parameters'!$B$6:$C$24,2,FALSE))</f>
        <v>76777.3125</v>
      </c>
      <c r="H49" s="194" t="s">
        <v>60</v>
      </c>
      <c r="I49" s="70"/>
      <c r="J49" s="70"/>
      <c r="K49" s="139"/>
      <c r="L49" s="33"/>
      <c r="M49" s="106"/>
      <c r="N49" s="106"/>
      <c r="O49" s="106"/>
      <c r="P49" s="149"/>
      <c r="R49" s="118">
        <f t="shared" si="4"/>
        <v>42</v>
      </c>
      <c r="S49" s="94">
        <f t="shared" si="15"/>
        <v>0</v>
      </c>
      <c r="T49" s="89">
        <f t="shared" si="15"/>
        <v>0</v>
      </c>
      <c r="U49" s="95">
        <f t="shared" si="15"/>
        <v>0</v>
      </c>
      <c r="V49" s="94">
        <f t="shared" si="16"/>
        <v>0</v>
      </c>
      <c r="W49" s="89">
        <f t="shared" si="16"/>
        <v>0</v>
      </c>
      <c r="X49" s="95">
        <f t="shared" si="16"/>
        <v>0</v>
      </c>
      <c r="Y49" s="89"/>
      <c r="Z49" s="118">
        <f t="shared" si="5"/>
        <v>43</v>
      </c>
      <c r="AA49" s="94">
        <f t="shared" si="17"/>
        <v>22780.589534067662</v>
      </c>
      <c r="AB49" s="89">
        <f t="shared" si="17"/>
        <v>11390.294767033831</v>
      </c>
      <c r="AC49" s="95">
        <f t="shared" si="17"/>
        <v>11390.294767033831</v>
      </c>
      <c r="AD49" s="94">
        <f t="shared" si="18"/>
        <v>70949.739850007056</v>
      </c>
      <c r="AE49" s="89">
        <f t="shared" si="18"/>
        <v>53212.304887505285</v>
      </c>
      <c r="AF49" s="95">
        <f t="shared" si="18"/>
        <v>53212.304887505285</v>
      </c>
      <c r="AG49" s="84"/>
      <c r="AH49" s="118">
        <f t="shared" si="6"/>
        <v>42</v>
      </c>
      <c r="AI49" s="94">
        <f>IF(E$5*$AH49&lt;E$5*E$14,(E$19*E$6*(1+Overview!$B$53)^-(E$5*$AH49)),0)</f>
        <v>0</v>
      </c>
      <c r="AJ49" s="89">
        <f>IF(F$5*$AH49&lt;F$5*F$14,(F$19*F$6*(1+Overview!$B$53)^-(F$5*$AH49)),0)</f>
        <v>0</v>
      </c>
      <c r="AK49" s="95">
        <f>IF(G$5*$AH49&lt;G$5*G$14,(G$19*G$6*(1+Overview!$B$53)^-(G$5*$AH49)),0)</f>
        <v>0</v>
      </c>
      <c r="AL49" s="94">
        <f>IF($AH49=0,0,IF(E$5*$AH49&lt;=E$5*E$14,(E$22*E$6*(1+Overview!$B$53)^-(E$5*$AH49)),0))</f>
        <v>0</v>
      </c>
      <c r="AM49" s="89">
        <f>IF($AH49=0,0,IF(F$5*$AH49&lt;=F$5*F$14,(F$22*F$6*(1+Overview!$B$53)^-(F$5*$AH49)),0))</f>
        <v>0</v>
      </c>
      <c r="AN49" s="95">
        <f>IF($AH49=0,0,IF(G$5*$AH49&lt;=G$5*G$14,(G$22*G$6*(1+Overview!$B$53)^-(G$5*$AH49)),0))</f>
        <v>0</v>
      </c>
      <c r="AO49" s="94">
        <f>IF(E$16&gt;0,IF($AH48*E$14=E$4,-(E$16/E$5)*E$19*E$6*(1+Overview!$B$53)^-E$4+(E$22*E$6*(1+Overview!$B$53)^-E$4),0),0)</f>
        <v>0</v>
      </c>
      <c r="AP49" s="89">
        <f>IF(F$16&gt;0,IF($AH48*F$14=F$4,-(F$16/F$5)*F$19*F$6*(1+Overview!$B$53)^-F$4+(F$22*F$6*(1+Overview!$B$53)^-F$4),0),0)</f>
        <v>0</v>
      </c>
      <c r="AQ49" s="95">
        <f>IF(G$16&gt;0,IF($AH48*G$14=G$4,-(G$16/G$5)*G$19*G$6*(1+Overview!$B$53)^-G$4+(G$22*G$6*(1+Overview!$B$53)^-G$4),0),0)</f>
        <v>0</v>
      </c>
      <c r="AR49" s="84"/>
      <c r="AS49" s="109">
        <f t="shared" si="7"/>
        <v>43</v>
      </c>
      <c r="AT49" s="94">
        <f>IF($AS49&lt;E$4,E$20*E$6*E$11*(1+Overview!$B$53)^-($AS49),0)</f>
        <v>22780.589534067662</v>
      </c>
      <c r="AU49" s="89">
        <f>IF($AS49&lt;F$4,F$20*F$6*F$11*(1+Overview!$B$53)^-($AS49),0)</f>
        <v>11390.294767033831</v>
      </c>
      <c r="AV49" s="89">
        <f>IF($AS49&lt;G$4,G$20*G$6*G$11*(1+Overview!$B$53)^-($AS49),0)</f>
        <v>11390.294767033831</v>
      </c>
      <c r="AW49" s="94">
        <f>IF(E$67=0,IF($AS49&lt;E$4,E$55*(1+Overview!$B$53)^-($AS49),0),IF($AS49&lt;E$4,E$67*(1+Overview!$B$53)^-($AS49),0))</f>
        <v>70949.739850007056</v>
      </c>
      <c r="AX49" s="89">
        <f>IF(F$67=0,IF($AS49&lt;F$4,F$55*(1+Overview!$B$53)^-($AS49),0),IF($AS49&lt;F$4,F$67*(1+Overview!$B$53)^-($AS49),0))</f>
        <v>53212.304887505285</v>
      </c>
      <c r="AY49" s="89">
        <f>IF(G$67=0,IF($AS49&lt;G$4,G$55*(1+Overview!$B$53)^-($AS49),0),IF($AS49&lt;G$4,G$67*(1+Overview!$B$53)^-($AS49),0))</f>
        <v>53212.304887505285</v>
      </c>
      <c r="AZ49" s="89">
        <f>IF(E$68=0,IF($AS49&lt;E$4,E$56*(1+Overview!$B$53)^-($AS49),0),IF($AS49&lt;E$4,E$68*(1+Overview!$B$53)^-($AS49),0))</f>
        <v>0</v>
      </c>
      <c r="BA49" s="89">
        <f>IF(F$68=0,IF($AS49&lt;F$4,F$56*(1+Overview!$B$53)^-($AS49),0),IF($AS49&lt;F$4,F$68*(1+Overview!$B$53)^-($AS49),0))</f>
        <v>0</v>
      </c>
      <c r="BB49" s="89">
        <f>IF(G$68=0,IF($AS49&lt;G$4,G$56*(1+Overview!$B$53)^-($AS49),0),IF($AS49&lt;G$4,G$68*(1+Overview!$B$53)^-($AS49),0))</f>
        <v>0</v>
      </c>
      <c r="BC49" s="89">
        <f>IF(E$69=0,IF($AS49&lt;E$4,E$57*(1+Overview!$B$53)^-($AS49),0),IF($AS49&lt;E$4,E$69*(1+Overview!$B$53)^-($AS49),0))</f>
        <v>0</v>
      </c>
      <c r="BD49" s="89">
        <f>IF(F$69=0,IF($AS49&lt;F$4,F$57*(1+Overview!$B$53)^-($AS49),0),IF($AS49&lt;F$4,F$69*(1+Overview!$B$53)^-($AS49),0))</f>
        <v>0</v>
      </c>
      <c r="BE49" s="95">
        <f>IF(G$69=0,IF($AS49&lt;G$4,G$57*(1+Overview!$B$53)^-($AS49),0),IF($AS49&lt;G$4,G$69*(1+Overview!$B$53)^-($AS49),0))</f>
        <v>0</v>
      </c>
      <c r="BF49" s="1"/>
    </row>
    <row r="50" spans="1:58" x14ac:dyDescent="0.3">
      <c r="A50" s="33"/>
      <c r="B50" s="189"/>
      <c r="C50" s="189"/>
      <c r="D50" s="189"/>
      <c r="E50" s="205"/>
      <c r="F50" s="205"/>
      <c r="G50" s="205"/>
      <c r="H50" s="189"/>
      <c r="I50" s="70"/>
      <c r="J50" s="70"/>
      <c r="K50" s="139"/>
      <c r="L50" s="33"/>
      <c r="M50" s="106"/>
      <c r="N50" s="106"/>
      <c r="O50" s="106"/>
      <c r="P50" s="149"/>
      <c r="R50" s="118">
        <f t="shared" si="4"/>
        <v>43</v>
      </c>
      <c r="S50" s="94">
        <f t="shared" si="15"/>
        <v>0</v>
      </c>
      <c r="T50" s="89">
        <f t="shared" si="15"/>
        <v>0</v>
      </c>
      <c r="U50" s="95">
        <f t="shared" si="15"/>
        <v>0</v>
      </c>
      <c r="V50" s="94">
        <f t="shared" si="16"/>
        <v>0</v>
      </c>
      <c r="W50" s="89">
        <f t="shared" si="16"/>
        <v>0</v>
      </c>
      <c r="X50" s="95">
        <f t="shared" si="16"/>
        <v>0</v>
      </c>
      <c r="Y50" s="89"/>
      <c r="Z50" s="118">
        <f t="shared" si="5"/>
        <v>44</v>
      </c>
      <c r="AA50" s="94">
        <f t="shared" si="17"/>
        <v>22010.231433881803</v>
      </c>
      <c r="AB50" s="89">
        <f t="shared" si="17"/>
        <v>11005.115716940902</v>
      </c>
      <c r="AC50" s="95">
        <f t="shared" si="17"/>
        <v>11005.115716940902</v>
      </c>
      <c r="AD50" s="94">
        <f t="shared" si="18"/>
        <v>68550.473285030981</v>
      </c>
      <c r="AE50" s="89">
        <f t="shared" si="18"/>
        <v>51412.854963773236</v>
      </c>
      <c r="AF50" s="95">
        <f t="shared" si="18"/>
        <v>51412.854963773236</v>
      </c>
      <c r="AG50" s="84"/>
      <c r="AH50" s="118">
        <f t="shared" si="6"/>
        <v>43</v>
      </c>
      <c r="AI50" s="94">
        <f>IF(E$5*$AH50&lt;E$5*E$14,(E$19*E$6*(1+Overview!$B$53)^-(E$5*$AH50)),0)</f>
        <v>0</v>
      </c>
      <c r="AJ50" s="89">
        <f>IF(F$5*$AH50&lt;F$5*F$14,(F$19*F$6*(1+Overview!$B$53)^-(F$5*$AH50)),0)</f>
        <v>0</v>
      </c>
      <c r="AK50" s="95">
        <f>IF(G$5*$AH50&lt;G$5*G$14,(G$19*G$6*(1+Overview!$B$53)^-(G$5*$AH50)),0)</f>
        <v>0</v>
      </c>
      <c r="AL50" s="94">
        <f>IF($AH50=0,0,IF(E$5*$AH50&lt;=E$5*E$14,(E$22*E$6*(1+Overview!$B$53)^-(E$5*$AH50)),0))</f>
        <v>0</v>
      </c>
      <c r="AM50" s="89">
        <f>IF($AH50=0,0,IF(F$5*$AH50&lt;=F$5*F$14,(F$22*F$6*(1+Overview!$B$53)^-(F$5*$AH50)),0))</f>
        <v>0</v>
      </c>
      <c r="AN50" s="95">
        <f>IF($AH50=0,0,IF(G$5*$AH50&lt;=G$5*G$14,(G$22*G$6*(1+Overview!$B$53)^-(G$5*$AH50)),0))</f>
        <v>0</v>
      </c>
      <c r="AO50" s="94">
        <f>IF(E$16&gt;0,IF($AH49*E$14=E$4,-(E$16/E$5)*E$19*E$6*(1+Overview!$B$53)^-E$4+(E$22*E$6*(1+Overview!$B$53)^-E$4),0),0)</f>
        <v>0</v>
      </c>
      <c r="AP50" s="89">
        <f>IF(F$16&gt;0,IF($AH49*F$14=F$4,-(F$16/F$5)*F$19*F$6*(1+Overview!$B$53)^-F$4+(F$22*F$6*(1+Overview!$B$53)^-F$4),0),0)</f>
        <v>0</v>
      </c>
      <c r="AQ50" s="95">
        <f>IF(G$16&gt;0,IF($AH49*G$14=G$4,-(G$16/G$5)*G$19*G$6*(1+Overview!$B$53)^-G$4+(G$22*G$6*(1+Overview!$B$53)^-G$4),0),0)</f>
        <v>0</v>
      </c>
      <c r="AR50" s="84"/>
      <c r="AS50" s="109">
        <f t="shared" si="7"/>
        <v>44</v>
      </c>
      <c r="AT50" s="94">
        <f>IF($AS50&lt;E$4,E$20*E$6*E$11*(1+Overview!$B$53)^-($AS50),0)</f>
        <v>22010.231433881803</v>
      </c>
      <c r="AU50" s="89">
        <f>IF($AS50&lt;F$4,F$20*F$6*F$11*(1+Overview!$B$53)^-($AS50),0)</f>
        <v>11005.115716940902</v>
      </c>
      <c r="AV50" s="89">
        <f>IF($AS50&lt;G$4,G$20*G$6*G$11*(1+Overview!$B$53)^-($AS50),0)</f>
        <v>11005.115716940902</v>
      </c>
      <c r="AW50" s="94">
        <f>IF(E$67=0,IF($AS50&lt;E$4,E$55*(1+Overview!$B$53)^-($AS50),0),IF($AS50&lt;E$4,E$67*(1+Overview!$B$53)^-($AS50),0))</f>
        <v>68550.473285030981</v>
      </c>
      <c r="AX50" s="89">
        <f>IF(F$67=0,IF($AS50&lt;F$4,F$55*(1+Overview!$B$53)^-($AS50),0),IF($AS50&lt;F$4,F$67*(1+Overview!$B$53)^-($AS50),0))</f>
        <v>51412.854963773236</v>
      </c>
      <c r="AY50" s="89">
        <f>IF(G$67=0,IF($AS50&lt;G$4,G$55*(1+Overview!$B$53)^-($AS50),0),IF($AS50&lt;G$4,G$67*(1+Overview!$B$53)^-($AS50),0))</f>
        <v>51412.854963773236</v>
      </c>
      <c r="AZ50" s="89">
        <f>IF(E$68=0,IF($AS50&lt;E$4,E$56*(1+Overview!$B$53)^-($AS50),0),IF($AS50&lt;E$4,E$68*(1+Overview!$B$53)^-($AS50),0))</f>
        <v>0</v>
      </c>
      <c r="BA50" s="89">
        <f>IF(F$68=0,IF($AS50&lt;F$4,F$56*(1+Overview!$B$53)^-($AS50),0),IF($AS50&lt;F$4,F$68*(1+Overview!$B$53)^-($AS50),0))</f>
        <v>0</v>
      </c>
      <c r="BB50" s="89">
        <f>IF(G$68=0,IF($AS50&lt;G$4,G$56*(1+Overview!$B$53)^-($AS50),0),IF($AS50&lt;G$4,G$68*(1+Overview!$B$53)^-($AS50),0))</f>
        <v>0</v>
      </c>
      <c r="BC50" s="89">
        <f>IF(E$69=0,IF($AS50&lt;E$4,E$57*(1+Overview!$B$53)^-($AS50),0),IF($AS50&lt;E$4,E$69*(1+Overview!$B$53)^-($AS50),0))</f>
        <v>0</v>
      </c>
      <c r="BD50" s="89">
        <f>IF(F$69=0,IF($AS50&lt;F$4,F$57*(1+Overview!$B$53)^-($AS50),0),IF($AS50&lt;F$4,F$69*(1+Overview!$B$53)^-($AS50),0))</f>
        <v>0</v>
      </c>
      <c r="BE50" s="95">
        <f>IF(G$69=0,IF($AS50&lt;G$4,G$57*(1+Overview!$B$53)^-($AS50),0),IF($AS50&lt;G$4,G$69*(1+Overview!$B$53)^-($AS50),0))</f>
        <v>0</v>
      </c>
      <c r="BF50" s="1"/>
    </row>
    <row r="51" spans="1:58" x14ac:dyDescent="0.3">
      <c r="A51" s="68"/>
      <c r="B51" s="188" t="s">
        <v>121</v>
      </c>
      <c r="C51" s="189" t="s">
        <v>122</v>
      </c>
      <c r="D51" s="189" t="s">
        <v>115</v>
      </c>
      <c r="E51" s="198">
        <f>VLOOKUP(Overview!$B$45,'Train disturbance parameters'!$B$6:$D$24,3,FALSE)*'LCC calculation'!E28</f>
        <v>21080</v>
      </c>
      <c r="F51" s="199">
        <f>VLOOKUP(Overview!$B$45,'Train disturbance parameters'!$B$6:$D$24,3,FALSE)*'LCC calculation'!F28</f>
        <v>21080</v>
      </c>
      <c r="G51" s="200">
        <f>VLOOKUP(Overview!$B$45,'Train disturbance parameters'!$B$6:$D$24,3,FALSE)*'LCC calculation'!G28</f>
        <v>21080</v>
      </c>
      <c r="H51" s="194" t="s">
        <v>60</v>
      </c>
      <c r="I51" s="70"/>
      <c r="J51" s="70"/>
      <c r="K51" s="139"/>
      <c r="L51" s="33"/>
      <c r="M51" s="106"/>
      <c r="N51" s="106"/>
      <c r="O51" s="106"/>
      <c r="P51" s="149"/>
      <c r="R51" s="118">
        <f t="shared" si="4"/>
        <v>44</v>
      </c>
      <c r="S51" s="94">
        <f t="shared" si="15"/>
        <v>0</v>
      </c>
      <c r="T51" s="89">
        <f t="shared" si="15"/>
        <v>0</v>
      </c>
      <c r="U51" s="95">
        <f t="shared" si="15"/>
        <v>0</v>
      </c>
      <c r="V51" s="94">
        <f t="shared" si="16"/>
        <v>0</v>
      </c>
      <c r="W51" s="89">
        <f t="shared" si="16"/>
        <v>0</v>
      </c>
      <c r="X51" s="95">
        <f t="shared" si="16"/>
        <v>0</v>
      </c>
      <c r="Y51" s="89"/>
      <c r="Z51" s="118">
        <f t="shared" si="5"/>
        <v>45</v>
      </c>
      <c r="AA51" s="94">
        <f t="shared" si="17"/>
        <v>21265.924090707056</v>
      </c>
      <c r="AB51" s="89">
        <f t="shared" si="17"/>
        <v>10632.962045353528</v>
      </c>
      <c r="AC51" s="95">
        <f t="shared" si="17"/>
        <v>10632.962045353528</v>
      </c>
      <c r="AD51" s="94">
        <f t="shared" si="18"/>
        <v>66232.341338194194</v>
      </c>
      <c r="AE51" s="89">
        <f t="shared" si="18"/>
        <v>49674.256003645634</v>
      </c>
      <c r="AF51" s="95">
        <f t="shared" si="18"/>
        <v>49674.256003645634</v>
      </c>
      <c r="AG51" s="84"/>
      <c r="AH51" s="118">
        <f t="shared" si="6"/>
        <v>44</v>
      </c>
      <c r="AI51" s="94">
        <f>IF(E$5*$AH51&lt;E$5*E$14,(E$19*E$6*(1+Overview!$B$53)^-(E$5*$AH51)),0)</f>
        <v>0</v>
      </c>
      <c r="AJ51" s="89">
        <f>IF(F$5*$AH51&lt;F$5*F$14,(F$19*F$6*(1+Overview!$B$53)^-(F$5*$AH51)),0)</f>
        <v>0</v>
      </c>
      <c r="AK51" s="95">
        <f>IF(G$5*$AH51&lt;G$5*G$14,(G$19*G$6*(1+Overview!$B$53)^-(G$5*$AH51)),0)</f>
        <v>0</v>
      </c>
      <c r="AL51" s="94">
        <f>IF($AH51=0,0,IF(E$5*$AH51&lt;=E$5*E$14,(E$22*E$6*(1+Overview!$B$53)^-(E$5*$AH51)),0))</f>
        <v>0</v>
      </c>
      <c r="AM51" s="89">
        <f>IF($AH51=0,0,IF(F$5*$AH51&lt;=F$5*F$14,(F$22*F$6*(1+Overview!$B$53)^-(F$5*$AH51)),0))</f>
        <v>0</v>
      </c>
      <c r="AN51" s="95">
        <f>IF($AH51=0,0,IF(G$5*$AH51&lt;=G$5*G$14,(G$22*G$6*(1+Overview!$B$53)^-(G$5*$AH51)),0))</f>
        <v>0</v>
      </c>
      <c r="AO51" s="94">
        <f>IF(E$16&gt;0,IF($AH50*E$14=E$4,-(E$16/E$5)*E$19*E$6*(1+Overview!$B$53)^-E$4+(E$22*E$6*(1+Overview!$B$53)^-E$4),0),0)</f>
        <v>0</v>
      </c>
      <c r="AP51" s="89">
        <f>IF(F$16&gt;0,IF($AH50*F$14=F$4,-(F$16/F$5)*F$19*F$6*(1+Overview!$B$53)^-F$4+(F$22*F$6*(1+Overview!$B$53)^-F$4),0),0)</f>
        <v>0</v>
      </c>
      <c r="AQ51" s="95">
        <f>IF(G$16&gt;0,IF($AH50*G$14=G$4,-(G$16/G$5)*G$19*G$6*(1+Overview!$B$53)^-G$4+(G$22*G$6*(1+Overview!$B$53)^-G$4),0),0)</f>
        <v>0</v>
      </c>
      <c r="AR51" s="84"/>
      <c r="AS51" s="109">
        <f t="shared" si="7"/>
        <v>45</v>
      </c>
      <c r="AT51" s="94">
        <f>IF($AS51&lt;E$4,E$20*E$6*E$11*(1+Overview!$B$53)^-($AS51),0)</f>
        <v>21265.924090707056</v>
      </c>
      <c r="AU51" s="89">
        <f>IF($AS51&lt;F$4,F$20*F$6*F$11*(1+Overview!$B$53)^-($AS51),0)</f>
        <v>10632.962045353528</v>
      </c>
      <c r="AV51" s="89">
        <f>IF($AS51&lt;G$4,G$20*G$6*G$11*(1+Overview!$B$53)^-($AS51),0)</f>
        <v>10632.962045353528</v>
      </c>
      <c r="AW51" s="94">
        <f>IF(E$67=0,IF($AS51&lt;E$4,E$55*(1+Overview!$B$53)^-($AS51),0),IF($AS51&lt;E$4,E$67*(1+Overview!$B$53)^-($AS51),0))</f>
        <v>66232.341338194194</v>
      </c>
      <c r="AX51" s="89">
        <f>IF(F$67=0,IF($AS51&lt;F$4,F$55*(1+Overview!$B$53)^-($AS51),0),IF($AS51&lt;F$4,F$67*(1+Overview!$B$53)^-($AS51),0))</f>
        <v>49674.256003645634</v>
      </c>
      <c r="AY51" s="89">
        <f>IF(G$67=0,IF($AS51&lt;G$4,G$55*(1+Overview!$B$53)^-($AS51),0),IF($AS51&lt;G$4,G$67*(1+Overview!$B$53)^-($AS51),0))</f>
        <v>49674.256003645634</v>
      </c>
      <c r="AZ51" s="89">
        <f>IF(E$68=0,IF($AS51&lt;E$4,E$56*(1+Overview!$B$53)^-($AS51),0),IF($AS51&lt;E$4,E$68*(1+Overview!$B$53)^-($AS51),0))</f>
        <v>0</v>
      </c>
      <c r="BA51" s="89">
        <f>IF(F$68=0,IF($AS51&lt;F$4,F$56*(1+Overview!$B$53)^-($AS51),0),IF($AS51&lt;F$4,F$68*(1+Overview!$B$53)^-($AS51),0))</f>
        <v>0</v>
      </c>
      <c r="BB51" s="89">
        <f>IF(G$68=0,IF($AS51&lt;G$4,G$56*(1+Overview!$B$53)^-($AS51),0),IF($AS51&lt;G$4,G$68*(1+Overview!$B$53)^-($AS51),0))</f>
        <v>0</v>
      </c>
      <c r="BC51" s="89">
        <f>IF(E$69=0,IF($AS51&lt;E$4,E$57*(1+Overview!$B$53)^-($AS51),0),IF($AS51&lt;E$4,E$69*(1+Overview!$B$53)^-($AS51),0))</f>
        <v>0</v>
      </c>
      <c r="BD51" s="89">
        <f>IF(F$69=0,IF($AS51&lt;F$4,F$57*(1+Overview!$B$53)^-($AS51),0),IF($AS51&lt;F$4,F$69*(1+Overview!$B$53)^-($AS51),0))</f>
        <v>0</v>
      </c>
      <c r="BE51" s="95">
        <f>IF(G$69=0,IF($AS51&lt;G$4,G$57*(1+Overview!$B$53)^-($AS51),0),IF($AS51&lt;G$4,G$69*(1+Overview!$B$53)^-($AS51),0))</f>
        <v>0</v>
      </c>
      <c r="BF51" s="1"/>
    </row>
    <row r="52" spans="1:58" x14ac:dyDescent="0.3">
      <c r="A52" s="33"/>
      <c r="B52" s="189"/>
      <c r="C52" s="189" t="s">
        <v>124</v>
      </c>
      <c r="D52" s="189" t="s">
        <v>115</v>
      </c>
      <c r="E52" s="198">
        <f>VLOOKUP(Overview!$B$47,'Train disturbance parameters'!$B$6:$D$24,3,FALSE)*'LCC calculation'!E29</f>
        <v>22940</v>
      </c>
      <c r="F52" s="199">
        <f>VLOOKUP(Overview!$B$47,'Train disturbance parameters'!$B$6:$D$24,3,FALSE)*'LCC calculation'!F29</f>
        <v>22940</v>
      </c>
      <c r="G52" s="200">
        <f>VLOOKUP(Overview!$B$47,'Train disturbance parameters'!$B$6:$D$24,3,FALSE)*'LCC calculation'!G29</f>
        <v>22940</v>
      </c>
      <c r="H52" s="194" t="s">
        <v>60</v>
      </c>
      <c r="I52" s="70"/>
      <c r="J52" s="70"/>
      <c r="K52" s="139"/>
      <c r="L52" s="33"/>
      <c r="M52" s="106"/>
      <c r="N52" s="106"/>
      <c r="O52" s="106"/>
      <c r="P52" s="149"/>
      <c r="R52" s="118">
        <f t="shared" si="4"/>
        <v>45</v>
      </c>
      <c r="S52" s="94">
        <f t="shared" si="15"/>
        <v>0</v>
      </c>
      <c r="T52" s="89">
        <f t="shared" si="15"/>
        <v>0</v>
      </c>
      <c r="U52" s="95">
        <f t="shared" si="15"/>
        <v>0</v>
      </c>
      <c r="V52" s="94">
        <f t="shared" si="16"/>
        <v>0</v>
      </c>
      <c r="W52" s="89">
        <f t="shared" si="16"/>
        <v>0</v>
      </c>
      <c r="X52" s="95">
        <f t="shared" si="16"/>
        <v>0</v>
      </c>
      <c r="Y52" s="89"/>
      <c r="Z52" s="118">
        <f t="shared" si="5"/>
        <v>46</v>
      </c>
      <c r="AA52" s="94">
        <f t="shared" si="17"/>
        <v>20546.786561069617</v>
      </c>
      <c r="AB52" s="89">
        <f t="shared" si="17"/>
        <v>10273.393280534809</v>
      </c>
      <c r="AC52" s="95">
        <f t="shared" si="17"/>
        <v>10273.393280534809</v>
      </c>
      <c r="AD52" s="94">
        <f t="shared" si="18"/>
        <v>63992.600326757667</v>
      </c>
      <c r="AE52" s="89">
        <f t="shared" si="18"/>
        <v>47994.450245068248</v>
      </c>
      <c r="AF52" s="95">
        <f t="shared" si="18"/>
        <v>47994.450245068248</v>
      </c>
      <c r="AG52" s="84"/>
      <c r="AH52" s="118">
        <f t="shared" si="6"/>
        <v>45</v>
      </c>
      <c r="AI52" s="94">
        <f>IF(E$5*$AH52&lt;E$5*E$14,(E$19*E$6*(1+Overview!$B$53)^-(E$5*$AH52)),0)</f>
        <v>0</v>
      </c>
      <c r="AJ52" s="89">
        <f>IF(F$5*$AH52&lt;F$5*F$14,(F$19*F$6*(1+Overview!$B$53)^-(F$5*$AH52)),0)</f>
        <v>0</v>
      </c>
      <c r="AK52" s="95">
        <f>IF(G$5*$AH52&lt;G$5*G$14,(G$19*G$6*(1+Overview!$B$53)^-(G$5*$AH52)),0)</f>
        <v>0</v>
      </c>
      <c r="AL52" s="94">
        <f>IF($AH52=0,0,IF(E$5*$AH52&lt;=E$5*E$14,(E$22*E$6*(1+Overview!$B$53)^-(E$5*$AH52)),0))</f>
        <v>0</v>
      </c>
      <c r="AM52" s="89">
        <f>IF($AH52=0,0,IF(F$5*$AH52&lt;=F$5*F$14,(F$22*F$6*(1+Overview!$B$53)^-(F$5*$AH52)),0))</f>
        <v>0</v>
      </c>
      <c r="AN52" s="95">
        <f>IF($AH52=0,0,IF(G$5*$AH52&lt;=G$5*G$14,(G$22*G$6*(1+Overview!$B$53)^-(G$5*$AH52)),0))</f>
        <v>0</v>
      </c>
      <c r="AO52" s="94">
        <f>IF(E$16&gt;0,IF($AH51*E$14=E$4,-(E$16/E$5)*E$19*E$6*(1+Overview!$B$53)^-E$4+(E$22*E$6*(1+Overview!$B$53)^-E$4),0),0)</f>
        <v>0</v>
      </c>
      <c r="AP52" s="89">
        <f>IF(F$16&gt;0,IF($AH51*F$14=F$4,-(F$16/F$5)*F$19*F$6*(1+Overview!$B$53)^-F$4+(F$22*F$6*(1+Overview!$B$53)^-F$4),0),0)</f>
        <v>0</v>
      </c>
      <c r="AQ52" s="95">
        <f>IF(G$16&gt;0,IF($AH51*G$14=G$4,-(G$16/G$5)*G$19*G$6*(1+Overview!$B$53)^-G$4+(G$22*G$6*(1+Overview!$B$53)^-G$4),0),0)</f>
        <v>0</v>
      </c>
      <c r="AR52" s="84"/>
      <c r="AS52" s="109">
        <f t="shared" si="7"/>
        <v>46</v>
      </c>
      <c r="AT52" s="94">
        <f>IF($AS52&lt;E$4,E$20*E$6*E$11*(1+Overview!$B$53)^-($AS52),0)</f>
        <v>20546.786561069617</v>
      </c>
      <c r="AU52" s="89">
        <f>IF($AS52&lt;F$4,F$20*F$6*F$11*(1+Overview!$B$53)^-($AS52),0)</f>
        <v>10273.393280534809</v>
      </c>
      <c r="AV52" s="89">
        <f>IF($AS52&lt;G$4,G$20*G$6*G$11*(1+Overview!$B$53)^-($AS52),0)</f>
        <v>10273.393280534809</v>
      </c>
      <c r="AW52" s="94">
        <f>IF(E$67=0,IF($AS52&lt;E$4,E$55*(1+Overview!$B$53)^-($AS52),0),IF($AS52&lt;E$4,E$67*(1+Overview!$B$53)^-($AS52),0))</f>
        <v>63992.600326757667</v>
      </c>
      <c r="AX52" s="89">
        <f>IF(F$67=0,IF($AS52&lt;F$4,F$55*(1+Overview!$B$53)^-($AS52),0),IF($AS52&lt;F$4,F$67*(1+Overview!$B$53)^-($AS52),0))</f>
        <v>47994.450245068248</v>
      </c>
      <c r="AY52" s="89">
        <f>IF(G$67=0,IF($AS52&lt;G$4,G$55*(1+Overview!$B$53)^-($AS52),0),IF($AS52&lt;G$4,G$67*(1+Overview!$B$53)^-($AS52),0))</f>
        <v>47994.450245068248</v>
      </c>
      <c r="AZ52" s="89">
        <f>IF(E$68=0,IF($AS52&lt;E$4,E$56*(1+Overview!$B$53)^-($AS52),0),IF($AS52&lt;E$4,E$68*(1+Overview!$B$53)^-($AS52),0))</f>
        <v>0</v>
      </c>
      <c r="BA52" s="89">
        <f>IF(F$68=0,IF($AS52&lt;F$4,F$56*(1+Overview!$B$53)^-($AS52),0),IF($AS52&lt;F$4,F$68*(1+Overview!$B$53)^-($AS52),0))</f>
        <v>0</v>
      </c>
      <c r="BB52" s="89">
        <f>IF(G$68=0,IF($AS52&lt;G$4,G$56*(1+Overview!$B$53)^-($AS52),0),IF($AS52&lt;G$4,G$68*(1+Overview!$B$53)^-($AS52),0))</f>
        <v>0</v>
      </c>
      <c r="BC52" s="89">
        <f>IF(E$69=0,IF($AS52&lt;E$4,E$57*(1+Overview!$B$53)^-($AS52),0),IF($AS52&lt;E$4,E$69*(1+Overview!$B$53)^-($AS52),0))</f>
        <v>0</v>
      </c>
      <c r="BD52" s="89">
        <f>IF(F$69=0,IF($AS52&lt;F$4,F$57*(1+Overview!$B$53)^-($AS52),0),IF($AS52&lt;F$4,F$69*(1+Overview!$B$53)^-($AS52),0))</f>
        <v>0</v>
      </c>
      <c r="BE52" s="95">
        <f>IF(G$69=0,IF($AS52&lt;G$4,G$57*(1+Overview!$B$53)^-($AS52),0),IF($AS52&lt;G$4,G$69*(1+Overview!$B$53)^-($AS52),0))</f>
        <v>0</v>
      </c>
      <c r="BF52" s="1"/>
    </row>
    <row r="53" spans="1:58" x14ac:dyDescent="0.3">
      <c r="A53" s="33"/>
      <c r="B53" s="189"/>
      <c r="C53" s="189" t="s">
        <v>125</v>
      </c>
      <c r="D53" s="189" t="s">
        <v>115</v>
      </c>
      <c r="E53" s="198">
        <f>VLOOKUP(Overview!$B$49,'Train disturbance parameters'!$B$6:$D$24,3,FALSE)*'LCC calculation'!E30</f>
        <v>21390</v>
      </c>
      <c r="F53" s="199">
        <f>VLOOKUP(Overview!$B$49,'Train disturbance parameters'!$B$6:$D$24,3,FALSE)*'LCC calculation'!F30</f>
        <v>21390</v>
      </c>
      <c r="G53" s="200">
        <f>VLOOKUP(Overview!$B$49,'Train disturbance parameters'!$B$6:$D$24,3,FALSE)*'LCC calculation'!G30</f>
        <v>21390</v>
      </c>
      <c r="H53" s="194" t="s">
        <v>60</v>
      </c>
      <c r="I53" s="70"/>
      <c r="J53" s="70"/>
      <c r="K53" s="139"/>
      <c r="L53" s="33"/>
      <c r="M53" s="101"/>
      <c r="N53" s="101"/>
      <c r="O53" s="101"/>
      <c r="P53" s="146"/>
      <c r="R53" s="118">
        <f t="shared" si="4"/>
        <v>46</v>
      </c>
      <c r="S53" s="94">
        <f t="shared" si="15"/>
        <v>0</v>
      </c>
      <c r="T53" s="89">
        <f t="shared" si="15"/>
        <v>0</v>
      </c>
      <c r="U53" s="95">
        <f t="shared" si="15"/>
        <v>0</v>
      </c>
      <c r="V53" s="94">
        <f t="shared" si="16"/>
        <v>0</v>
      </c>
      <c r="W53" s="89">
        <f t="shared" si="16"/>
        <v>0</v>
      </c>
      <c r="X53" s="95">
        <f t="shared" si="16"/>
        <v>0</v>
      </c>
      <c r="Y53" s="89"/>
      <c r="Z53" s="118">
        <f t="shared" si="5"/>
        <v>47</v>
      </c>
      <c r="AA53" s="94">
        <f t="shared" si="17"/>
        <v>19851.967691854708</v>
      </c>
      <c r="AB53" s="89">
        <f t="shared" si="17"/>
        <v>9925.9838459273542</v>
      </c>
      <c r="AC53" s="95">
        <f t="shared" si="17"/>
        <v>9925.9838459273542</v>
      </c>
      <c r="AD53" s="94">
        <f t="shared" si="18"/>
        <v>61828.599349524331</v>
      </c>
      <c r="AE53" s="89">
        <f t="shared" si="18"/>
        <v>46371.449512143241</v>
      </c>
      <c r="AF53" s="95">
        <f t="shared" si="18"/>
        <v>46371.449512143241</v>
      </c>
      <c r="AG53" s="84"/>
      <c r="AH53" s="118">
        <f t="shared" si="6"/>
        <v>46</v>
      </c>
      <c r="AI53" s="94">
        <f>IF(E$5*$AH53&lt;E$5*E$14,(E$19*E$6*(1+Overview!$B$53)^-(E$5*$AH53)),0)</f>
        <v>0</v>
      </c>
      <c r="AJ53" s="89">
        <f>IF(F$5*$AH53&lt;F$5*F$14,(F$19*F$6*(1+Overview!$B$53)^-(F$5*$AH53)),0)</f>
        <v>0</v>
      </c>
      <c r="AK53" s="95">
        <f>IF(G$5*$AH53&lt;G$5*G$14,(G$19*G$6*(1+Overview!$B$53)^-(G$5*$AH53)),0)</f>
        <v>0</v>
      </c>
      <c r="AL53" s="94">
        <f>IF($AH53=0,0,IF(E$5*$AH53&lt;=E$5*E$14,(E$22*E$6*(1+Overview!$B$53)^-(E$5*$AH53)),0))</f>
        <v>0</v>
      </c>
      <c r="AM53" s="89">
        <f>IF($AH53=0,0,IF(F$5*$AH53&lt;=F$5*F$14,(F$22*F$6*(1+Overview!$B$53)^-(F$5*$AH53)),0))</f>
        <v>0</v>
      </c>
      <c r="AN53" s="95">
        <f>IF($AH53=0,0,IF(G$5*$AH53&lt;=G$5*G$14,(G$22*G$6*(1+Overview!$B$53)^-(G$5*$AH53)),0))</f>
        <v>0</v>
      </c>
      <c r="AO53" s="94">
        <f>IF(E$16&gt;0,IF($AH52*E$14=E$4,-(E$16/E$5)*E$19*E$6*(1+Overview!$B$53)^-E$4+(E$22*E$6*(1+Overview!$B$53)^-E$4),0),0)</f>
        <v>0</v>
      </c>
      <c r="AP53" s="89">
        <f>IF(F$16&gt;0,IF($AH52*F$14=F$4,-(F$16/F$5)*F$19*F$6*(1+Overview!$B$53)^-F$4+(F$22*F$6*(1+Overview!$B$53)^-F$4),0),0)</f>
        <v>0</v>
      </c>
      <c r="AQ53" s="95">
        <f>IF(G$16&gt;0,IF($AH52*G$14=G$4,-(G$16/G$5)*G$19*G$6*(1+Overview!$B$53)^-G$4+(G$22*G$6*(1+Overview!$B$53)^-G$4),0),0)</f>
        <v>0</v>
      </c>
      <c r="AR53" s="84"/>
      <c r="AS53" s="109">
        <f t="shared" si="7"/>
        <v>47</v>
      </c>
      <c r="AT53" s="94">
        <f>IF($AS53&lt;E$4,E$20*E$6*E$11*(1+Overview!$B$53)^-($AS53),0)</f>
        <v>19851.967691854708</v>
      </c>
      <c r="AU53" s="89">
        <f>IF($AS53&lt;F$4,F$20*F$6*F$11*(1+Overview!$B$53)^-($AS53),0)</f>
        <v>9925.9838459273542</v>
      </c>
      <c r="AV53" s="89">
        <f>IF($AS53&lt;G$4,G$20*G$6*G$11*(1+Overview!$B$53)^-($AS53),0)</f>
        <v>9925.9838459273542</v>
      </c>
      <c r="AW53" s="94">
        <f>IF(E$67=0,IF($AS53&lt;E$4,E$55*(1+Overview!$B$53)^-($AS53),0),IF($AS53&lt;E$4,E$67*(1+Overview!$B$53)^-($AS53),0))</f>
        <v>61828.599349524331</v>
      </c>
      <c r="AX53" s="89">
        <f>IF(F$67=0,IF($AS53&lt;F$4,F$55*(1+Overview!$B$53)^-($AS53),0),IF($AS53&lt;F$4,F$67*(1+Overview!$B$53)^-($AS53),0))</f>
        <v>46371.449512143241</v>
      </c>
      <c r="AY53" s="89">
        <f>IF(G$67=0,IF($AS53&lt;G$4,G$55*(1+Overview!$B$53)^-($AS53),0),IF($AS53&lt;G$4,G$67*(1+Overview!$B$53)^-($AS53),0))</f>
        <v>46371.449512143241</v>
      </c>
      <c r="AZ53" s="89">
        <f>IF(E$68=0,IF($AS53&lt;E$4,E$56*(1+Overview!$B$53)^-($AS53),0),IF($AS53&lt;E$4,E$68*(1+Overview!$B$53)^-($AS53),0))</f>
        <v>0</v>
      </c>
      <c r="BA53" s="89">
        <f>IF(F$68=0,IF($AS53&lt;F$4,F$56*(1+Overview!$B$53)^-($AS53),0),IF($AS53&lt;F$4,F$68*(1+Overview!$B$53)^-($AS53),0))</f>
        <v>0</v>
      </c>
      <c r="BB53" s="89">
        <f>IF(G$68=0,IF($AS53&lt;G$4,G$56*(1+Overview!$B$53)^-($AS53),0),IF($AS53&lt;G$4,G$68*(1+Overview!$B$53)^-($AS53),0))</f>
        <v>0</v>
      </c>
      <c r="BC53" s="89">
        <f>IF(E$69=0,IF($AS53&lt;E$4,E$57*(1+Overview!$B$53)^-($AS53),0),IF($AS53&lt;E$4,E$69*(1+Overview!$B$53)^-($AS53),0))</f>
        <v>0</v>
      </c>
      <c r="BD53" s="89">
        <f>IF(F$69=0,IF($AS53&lt;F$4,F$57*(1+Overview!$B$53)^-($AS53),0),IF($AS53&lt;F$4,F$69*(1+Overview!$B$53)^-($AS53),0))</f>
        <v>0</v>
      </c>
      <c r="BE53" s="95">
        <f>IF(G$69=0,IF($AS53&lt;G$4,G$57*(1+Overview!$B$53)^-($AS53),0),IF($AS53&lt;G$4,G$69*(1+Overview!$B$53)^-($AS53),0))</f>
        <v>0</v>
      </c>
      <c r="BF53" s="1"/>
    </row>
    <row r="54" spans="1:58" x14ac:dyDescent="0.3">
      <c r="A54" s="33"/>
      <c r="B54" s="189"/>
      <c r="C54" s="189"/>
      <c r="D54" s="189"/>
      <c r="E54" s="205"/>
      <c r="F54" s="205"/>
      <c r="G54" s="205"/>
      <c r="H54" s="189"/>
      <c r="I54" s="70"/>
      <c r="J54" s="70"/>
      <c r="K54" s="139"/>
      <c r="L54" s="33"/>
      <c r="M54" s="33"/>
      <c r="N54" s="33"/>
      <c r="O54" s="33"/>
      <c r="P54" s="144"/>
      <c r="R54" s="118">
        <f t="shared" si="4"/>
        <v>47</v>
      </c>
      <c r="S54" s="94">
        <f t="shared" si="15"/>
        <v>0</v>
      </c>
      <c r="T54" s="89">
        <f t="shared" si="15"/>
        <v>0</v>
      </c>
      <c r="U54" s="95">
        <f t="shared" si="15"/>
        <v>0</v>
      </c>
      <c r="V54" s="94">
        <f t="shared" si="16"/>
        <v>0</v>
      </c>
      <c r="W54" s="89">
        <f t="shared" si="16"/>
        <v>0</v>
      </c>
      <c r="X54" s="95">
        <f t="shared" si="16"/>
        <v>0</v>
      </c>
      <c r="Y54" s="89"/>
      <c r="Z54" s="118">
        <f t="shared" si="5"/>
        <v>48</v>
      </c>
      <c r="AA54" s="94">
        <f t="shared" si="17"/>
        <v>19180.645112903101</v>
      </c>
      <c r="AB54" s="89">
        <f t="shared" si="17"/>
        <v>9590.3225564515506</v>
      </c>
      <c r="AC54" s="95">
        <f t="shared" si="17"/>
        <v>9590.3225564515506</v>
      </c>
      <c r="AD54" s="94">
        <f t="shared" si="18"/>
        <v>59737.777149298876</v>
      </c>
      <c r="AE54" s="89">
        <f t="shared" si="18"/>
        <v>44803.332861974159</v>
      </c>
      <c r="AF54" s="95">
        <f t="shared" si="18"/>
        <v>44803.332861974159</v>
      </c>
      <c r="AG54" s="84"/>
      <c r="AH54" s="118">
        <f t="shared" si="6"/>
        <v>47</v>
      </c>
      <c r="AI54" s="94">
        <f>IF(E$5*$AH54&lt;E$5*E$14,(E$19*E$6*(1+Overview!$B$53)^-(E$5*$AH54)),0)</f>
        <v>0</v>
      </c>
      <c r="AJ54" s="89">
        <f>IF(F$5*$AH54&lt;F$5*F$14,(F$19*F$6*(1+Overview!$B$53)^-(F$5*$AH54)),0)</f>
        <v>0</v>
      </c>
      <c r="AK54" s="95">
        <f>IF(G$5*$AH54&lt;G$5*G$14,(G$19*G$6*(1+Overview!$B$53)^-(G$5*$AH54)),0)</f>
        <v>0</v>
      </c>
      <c r="AL54" s="94">
        <f>IF($AH54=0,0,IF(E$5*$AH54&lt;=E$5*E$14,(E$22*E$6*(1+Overview!$B$53)^-(E$5*$AH54)),0))</f>
        <v>0</v>
      </c>
      <c r="AM54" s="89">
        <f>IF($AH54=0,0,IF(F$5*$AH54&lt;=F$5*F$14,(F$22*F$6*(1+Overview!$B$53)^-(F$5*$AH54)),0))</f>
        <v>0</v>
      </c>
      <c r="AN54" s="95">
        <f>IF($AH54=0,0,IF(G$5*$AH54&lt;=G$5*G$14,(G$22*G$6*(1+Overview!$B$53)^-(G$5*$AH54)),0))</f>
        <v>0</v>
      </c>
      <c r="AO54" s="94">
        <f>IF(E$16&gt;0,IF($AH53*E$14=E$4,-(E$16/E$5)*E$19*E$6*(1+Overview!$B$53)^-E$4+(E$22*E$6*(1+Overview!$B$53)^-E$4),0),0)</f>
        <v>0</v>
      </c>
      <c r="AP54" s="89">
        <f>IF(F$16&gt;0,IF($AH53*F$14=F$4,-(F$16/F$5)*F$19*F$6*(1+Overview!$B$53)^-F$4+(F$22*F$6*(1+Overview!$B$53)^-F$4),0),0)</f>
        <v>0</v>
      </c>
      <c r="AQ54" s="95">
        <f>IF(G$16&gt;0,IF($AH53*G$14=G$4,-(G$16/G$5)*G$19*G$6*(1+Overview!$B$53)^-G$4+(G$22*G$6*(1+Overview!$B$53)^-G$4),0),0)</f>
        <v>0</v>
      </c>
      <c r="AR54" s="84"/>
      <c r="AS54" s="109">
        <f t="shared" si="7"/>
        <v>48</v>
      </c>
      <c r="AT54" s="94">
        <f>IF($AS54&lt;E$4,E$20*E$6*E$11*(1+Overview!$B$53)^-($AS54),0)</f>
        <v>19180.645112903101</v>
      </c>
      <c r="AU54" s="89">
        <f>IF($AS54&lt;F$4,F$20*F$6*F$11*(1+Overview!$B$53)^-($AS54),0)</f>
        <v>9590.3225564515506</v>
      </c>
      <c r="AV54" s="89">
        <f>IF($AS54&lt;G$4,G$20*G$6*G$11*(1+Overview!$B$53)^-($AS54),0)</f>
        <v>9590.3225564515506</v>
      </c>
      <c r="AW54" s="94">
        <f>IF(E$67=0,IF($AS54&lt;E$4,E$55*(1+Overview!$B$53)^-($AS54),0),IF($AS54&lt;E$4,E$67*(1+Overview!$B$53)^-($AS54),0))</f>
        <v>59737.777149298876</v>
      </c>
      <c r="AX54" s="89">
        <f>IF(F$67=0,IF($AS54&lt;F$4,F$55*(1+Overview!$B$53)^-($AS54),0),IF($AS54&lt;F$4,F$67*(1+Overview!$B$53)^-($AS54),0))</f>
        <v>44803.332861974159</v>
      </c>
      <c r="AY54" s="89">
        <f>IF(G$67=0,IF($AS54&lt;G$4,G$55*(1+Overview!$B$53)^-($AS54),0),IF($AS54&lt;G$4,G$67*(1+Overview!$B$53)^-($AS54),0))</f>
        <v>44803.332861974159</v>
      </c>
      <c r="AZ54" s="89">
        <f>IF(E$68=0,IF($AS54&lt;E$4,E$56*(1+Overview!$B$53)^-($AS54),0),IF($AS54&lt;E$4,E$68*(1+Overview!$B$53)^-($AS54),0))</f>
        <v>0</v>
      </c>
      <c r="BA54" s="89">
        <f>IF(F$68=0,IF($AS54&lt;F$4,F$56*(1+Overview!$B$53)^-($AS54),0),IF($AS54&lt;F$4,F$68*(1+Overview!$B$53)^-($AS54),0))</f>
        <v>0</v>
      </c>
      <c r="BB54" s="89">
        <f>IF(G$68=0,IF($AS54&lt;G$4,G$56*(1+Overview!$B$53)^-($AS54),0),IF($AS54&lt;G$4,G$68*(1+Overview!$B$53)^-($AS54),0))</f>
        <v>0</v>
      </c>
      <c r="BC54" s="89">
        <f>IF(E$69=0,IF($AS54&lt;E$4,E$57*(1+Overview!$B$53)^-($AS54),0),IF($AS54&lt;E$4,E$69*(1+Overview!$B$53)^-($AS54),0))</f>
        <v>0</v>
      </c>
      <c r="BD54" s="89">
        <f>IF(F$69=0,IF($AS54&lt;F$4,F$57*(1+Overview!$B$53)^-($AS54),0),IF($AS54&lt;F$4,F$69*(1+Overview!$B$53)^-($AS54),0))</f>
        <v>0</v>
      </c>
      <c r="BE54" s="95">
        <f>IF(G$69=0,IF($AS54&lt;G$4,G$57*(1+Overview!$B$53)^-($AS54),0),IF($AS54&lt;G$4,G$69*(1+Overview!$B$53)^-($AS54),0))</f>
        <v>0</v>
      </c>
      <c r="BF54" s="1"/>
    </row>
    <row r="55" spans="1:58" x14ac:dyDescent="0.3">
      <c r="A55" s="33"/>
      <c r="B55" s="188" t="s">
        <v>127</v>
      </c>
      <c r="C55" s="189" t="s">
        <v>128</v>
      </c>
      <c r="D55" s="189" t="s">
        <v>129</v>
      </c>
      <c r="E55" s="201">
        <f>E43*(E47+E51)</f>
        <v>311448.21666666673</v>
      </c>
      <c r="F55" s="202">
        <f>F43*(F47+F51)</f>
        <v>233586.16250000003</v>
      </c>
      <c r="G55" s="203">
        <f>G43*(G47+G51)</f>
        <v>233586.16250000003</v>
      </c>
      <c r="H55" s="194" t="s">
        <v>60</v>
      </c>
      <c r="I55" s="70"/>
      <c r="J55" s="70"/>
      <c r="K55" s="139"/>
      <c r="L55" s="33"/>
      <c r="M55" s="33"/>
      <c r="N55" s="33"/>
      <c r="O55" s="33"/>
      <c r="P55" s="144"/>
      <c r="R55" s="118">
        <f t="shared" si="4"/>
        <v>48</v>
      </c>
      <c r="S55" s="94">
        <f t="shared" si="15"/>
        <v>0</v>
      </c>
      <c r="T55" s="89">
        <f t="shared" si="15"/>
        <v>0</v>
      </c>
      <c r="U55" s="95">
        <f t="shared" si="15"/>
        <v>0</v>
      </c>
      <c r="V55" s="94">
        <f t="shared" si="16"/>
        <v>0</v>
      </c>
      <c r="W55" s="89">
        <f t="shared" si="16"/>
        <v>0</v>
      </c>
      <c r="X55" s="95">
        <f t="shared" si="16"/>
        <v>0</v>
      </c>
      <c r="Y55" s="89"/>
      <c r="Z55" s="118">
        <f t="shared" si="5"/>
        <v>49</v>
      </c>
      <c r="AA55" s="94">
        <f t="shared" si="17"/>
        <v>18532.024263674499</v>
      </c>
      <c r="AB55" s="89">
        <f t="shared" si="17"/>
        <v>9266.0121318372494</v>
      </c>
      <c r="AC55" s="95">
        <f t="shared" si="17"/>
        <v>9266.0121318372494</v>
      </c>
      <c r="AD55" s="94">
        <f t="shared" si="18"/>
        <v>57717.659081448204</v>
      </c>
      <c r="AE55" s="89">
        <f t="shared" si="18"/>
        <v>43288.24431108615</v>
      </c>
      <c r="AF55" s="95">
        <f t="shared" si="18"/>
        <v>43288.24431108615</v>
      </c>
      <c r="AG55" s="84"/>
      <c r="AH55" s="118">
        <f t="shared" si="6"/>
        <v>48</v>
      </c>
      <c r="AI55" s="94">
        <f>IF(E$5*$AH55&lt;E$5*E$14,(E$19*E$6*(1+Overview!$B$53)^-(E$5*$AH55)),0)</f>
        <v>0</v>
      </c>
      <c r="AJ55" s="89">
        <f>IF(F$5*$AH55&lt;F$5*F$14,(F$19*F$6*(1+Overview!$B$53)^-(F$5*$AH55)),0)</f>
        <v>0</v>
      </c>
      <c r="AK55" s="95">
        <f>IF(G$5*$AH55&lt;G$5*G$14,(G$19*G$6*(1+Overview!$B$53)^-(G$5*$AH55)),0)</f>
        <v>0</v>
      </c>
      <c r="AL55" s="94">
        <f>IF($AH55=0,0,IF(E$5*$AH55&lt;=E$5*E$14,(E$22*E$6*(1+Overview!$B$53)^-(E$5*$AH55)),0))</f>
        <v>0</v>
      </c>
      <c r="AM55" s="89">
        <f>IF($AH55=0,0,IF(F$5*$AH55&lt;=F$5*F$14,(F$22*F$6*(1+Overview!$B$53)^-(F$5*$AH55)),0))</f>
        <v>0</v>
      </c>
      <c r="AN55" s="95">
        <f>IF($AH55=0,0,IF(G$5*$AH55&lt;=G$5*G$14,(G$22*G$6*(1+Overview!$B$53)^-(G$5*$AH55)),0))</f>
        <v>0</v>
      </c>
      <c r="AO55" s="94">
        <f>IF(E$16&gt;0,IF($AH54*E$14=E$4,-(E$16/E$5)*E$19*E$6*(1+Overview!$B$53)^-E$4+(E$22*E$6*(1+Overview!$B$53)^-E$4),0),0)</f>
        <v>0</v>
      </c>
      <c r="AP55" s="89">
        <f>IF(F$16&gt;0,IF($AH54*F$14=F$4,-(F$16/F$5)*F$19*F$6*(1+Overview!$B$53)^-F$4+(F$22*F$6*(1+Overview!$B$53)^-F$4),0),0)</f>
        <v>0</v>
      </c>
      <c r="AQ55" s="95">
        <f>IF(G$16&gt;0,IF($AH54*G$14=G$4,-(G$16/G$5)*G$19*G$6*(1+Overview!$B$53)^-G$4+(G$22*G$6*(1+Overview!$B$53)^-G$4),0),0)</f>
        <v>0</v>
      </c>
      <c r="AR55" s="84"/>
      <c r="AS55" s="109">
        <f t="shared" si="7"/>
        <v>49</v>
      </c>
      <c r="AT55" s="94">
        <f>IF($AS55&lt;E$4,E$20*E$6*E$11*(1+Overview!$B$53)^-($AS55),0)</f>
        <v>18532.024263674499</v>
      </c>
      <c r="AU55" s="89">
        <f>IF($AS55&lt;F$4,F$20*F$6*F$11*(1+Overview!$B$53)^-($AS55),0)</f>
        <v>9266.0121318372494</v>
      </c>
      <c r="AV55" s="89">
        <f>IF($AS55&lt;G$4,G$20*G$6*G$11*(1+Overview!$B$53)^-($AS55),0)</f>
        <v>9266.0121318372494</v>
      </c>
      <c r="AW55" s="94">
        <f>IF(E$67=0,IF($AS55&lt;E$4,E$55*(1+Overview!$B$53)^-($AS55),0),IF($AS55&lt;E$4,E$67*(1+Overview!$B$53)^-($AS55),0))</f>
        <v>57717.659081448204</v>
      </c>
      <c r="AX55" s="89">
        <f>IF(F$67=0,IF($AS55&lt;F$4,F$55*(1+Overview!$B$53)^-($AS55),0),IF($AS55&lt;F$4,F$67*(1+Overview!$B$53)^-($AS55),0))</f>
        <v>43288.24431108615</v>
      </c>
      <c r="AY55" s="89">
        <f>IF(G$67=0,IF($AS55&lt;G$4,G$55*(1+Overview!$B$53)^-($AS55),0),IF($AS55&lt;G$4,G$67*(1+Overview!$B$53)^-($AS55),0))</f>
        <v>43288.24431108615</v>
      </c>
      <c r="AZ55" s="89">
        <f>IF(E$68=0,IF($AS55&lt;E$4,E$56*(1+Overview!$B$53)^-($AS55),0),IF($AS55&lt;E$4,E$68*(1+Overview!$B$53)^-($AS55),0))</f>
        <v>0</v>
      </c>
      <c r="BA55" s="89">
        <f>IF(F$68=0,IF($AS55&lt;F$4,F$56*(1+Overview!$B$53)^-($AS55),0),IF($AS55&lt;F$4,F$68*(1+Overview!$B$53)^-($AS55),0))</f>
        <v>0</v>
      </c>
      <c r="BB55" s="89">
        <f>IF(G$68=0,IF($AS55&lt;G$4,G$56*(1+Overview!$B$53)^-($AS55),0),IF($AS55&lt;G$4,G$68*(1+Overview!$B$53)^-($AS55),0))</f>
        <v>0</v>
      </c>
      <c r="BC55" s="89">
        <f>IF(E$69=0,IF($AS55&lt;E$4,E$57*(1+Overview!$B$53)^-($AS55),0),IF($AS55&lt;E$4,E$69*(1+Overview!$B$53)^-($AS55),0))</f>
        <v>0</v>
      </c>
      <c r="BD55" s="89">
        <f>IF(F$69=0,IF($AS55&lt;F$4,F$57*(1+Overview!$B$53)^-($AS55),0),IF($AS55&lt;F$4,F$69*(1+Overview!$B$53)^-($AS55),0))</f>
        <v>0</v>
      </c>
      <c r="BE55" s="95">
        <f>IF(G$69=0,IF($AS55&lt;G$4,G$57*(1+Overview!$B$53)^-($AS55),0),IF($AS55&lt;G$4,G$69*(1+Overview!$B$53)^-($AS55),0))</f>
        <v>0</v>
      </c>
      <c r="BF55" s="1"/>
    </row>
    <row r="56" spans="1:58" x14ac:dyDescent="0.3">
      <c r="A56" s="33"/>
      <c r="B56" s="189"/>
      <c r="C56" s="189" t="s">
        <v>131</v>
      </c>
      <c r="D56" s="189" t="s">
        <v>129</v>
      </c>
      <c r="E56" s="201">
        <f>E44*(E48+E52)</f>
        <v>0</v>
      </c>
      <c r="F56" s="202">
        <f t="shared" ref="E56:G57" si="19">F44*(F48+F52)</f>
        <v>0</v>
      </c>
      <c r="G56" s="203">
        <f t="shared" si="19"/>
        <v>0</v>
      </c>
      <c r="H56" s="194" t="s">
        <v>60</v>
      </c>
      <c r="I56" s="70"/>
      <c r="J56" s="70"/>
      <c r="K56" s="139"/>
      <c r="L56" s="33"/>
      <c r="M56" s="33"/>
      <c r="N56" s="33"/>
      <c r="O56" s="33"/>
      <c r="P56" s="144"/>
      <c r="R56" s="118">
        <f t="shared" si="4"/>
        <v>49</v>
      </c>
      <c r="S56" s="94">
        <f t="shared" si="15"/>
        <v>0</v>
      </c>
      <c r="T56" s="89">
        <f t="shared" si="15"/>
        <v>0</v>
      </c>
      <c r="U56" s="95">
        <f t="shared" si="15"/>
        <v>0</v>
      </c>
      <c r="V56" s="94">
        <f t="shared" si="16"/>
        <v>0</v>
      </c>
      <c r="W56" s="89">
        <f t="shared" si="16"/>
        <v>0</v>
      </c>
      <c r="X56" s="95">
        <f t="shared" si="16"/>
        <v>0</v>
      </c>
      <c r="Y56" s="89"/>
      <c r="Z56" s="118">
        <f t="shared" si="5"/>
        <v>50</v>
      </c>
      <c r="AA56" s="94">
        <f t="shared" si="17"/>
        <v>17905.337452825603</v>
      </c>
      <c r="AB56" s="89">
        <f t="shared" si="17"/>
        <v>8952.6687264128013</v>
      </c>
      <c r="AC56" s="95">
        <f t="shared" si="17"/>
        <v>8952.6687264128013</v>
      </c>
      <c r="AD56" s="94">
        <f t="shared" si="18"/>
        <v>55765.854184974101</v>
      </c>
      <c r="AE56" s="89">
        <f t="shared" si="18"/>
        <v>41824.390638730576</v>
      </c>
      <c r="AF56" s="95">
        <f t="shared" si="18"/>
        <v>41824.390638730576</v>
      </c>
      <c r="AG56" s="84"/>
      <c r="AH56" s="118">
        <f t="shared" si="6"/>
        <v>49</v>
      </c>
      <c r="AI56" s="94">
        <f>IF(E$5*$AH56&lt;E$5*E$14,(E$19*E$6*(1+Overview!$B$53)^-(E$5*$AH56)),0)</f>
        <v>0</v>
      </c>
      <c r="AJ56" s="89">
        <f>IF(F$5*$AH56&lt;F$5*F$14,(F$19*F$6*(1+Overview!$B$53)^-(F$5*$AH56)),0)</f>
        <v>0</v>
      </c>
      <c r="AK56" s="95">
        <f>IF(G$5*$AH56&lt;G$5*G$14,(G$19*G$6*(1+Overview!$B$53)^-(G$5*$AH56)),0)</f>
        <v>0</v>
      </c>
      <c r="AL56" s="94">
        <f>IF($AH56=0,0,IF(E$5*$AH56&lt;=E$5*E$14,(E$22*E$6*(1+Overview!$B$53)^-(E$5*$AH56)),0))</f>
        <v>0</v>
      </c>
      <c r="AM56" s="89">
        <f>IF($AH56=0,0,IF(F$5*$AH56&lt;=F$5*F$14,(F$22*F$6*(1+Overview!$B$53)^-(F$5*$AH56)),0))</f>
        <v>0</v>
      </c>
      <c r="AN56" s="95">
        <f>IF($AH56=0,0,IF(G$5*$AH56&lt;=G$5*G$14,(G$22*G$6*(1+Overview!$B$53)^-(G$5*$AH56)),0))</f>
        <v>0</v>
      </c>
      <c r="AO56" s="94">
        <f>IF(E$16&gt;0,IF($AH55*E$14=E$4,-(E$16/E$5)*E$19*E$6*(1+Overview!$B$53)^-E$4+(E$22*E$6*(1+Overview!$B$53)^-E$4),0),0)</f>
        <v>0</v>
      </c>
      <c r="AP56" s="89">
        <f>IF(F$16&gt;0,IF($AH55*F$14=F$4,-(F$16/F$5)*F$19*F$6*(1+Overview!$B$53)^-F$4+(F$22*F$6*(1+Overview!$B$53)^-F$4),0),0)</f>
        <v>0</v>
      </c>
      <c r="AQ56" s="95">
        <f>IF(G$16&gt;0,IF($AH55*G$14=G$4,-(G$16/G$5)*G$19*G$6*(1+Overview!$B$53)^-G$4+(G$22*G$6*(1+Overview!$B$53)^-G$4),0),0)</f>
        <v>0</v>
      </c>
      <c r="AR56" s="84"/>
      <c r="AS56" s="109">
        <f t="shared" si="7"/>
        <v>50</v>
      </c>
      <c r="AT56" s="94">
        <f>IF($AS56&lt;E$4,E$20*E$6*E$11*(1+Overview!$B$53)^-($AS56),0)</f>
        <v>17905.337452825603</v>
      </c>
      <c r="AU56" s="89">
        <f>IF($AS56&lt;F$4,F$20*F$6*F$11*(1+Overview!$B$53)^-($AS56),0)</f>
        <v>8952.6687264128013</v>
      </c>
      <c r="AV56" s="89">
        <f>IF($AS56&lt;G$4,G$20*G$6*G$11*(1+Overview!$B$53)^-($AS56),0)</f>
        <v>8952.6687264128013</v>
      </c>
      <c r="AW56" s="94">
        <f>IF(E$67=0,IF($AS56&lt;E$4,E$55*(1+Overview!$B$53)^-($AS56),0),IF($AS56&lt;E$4,E$67*(1+Overview!$B$53)^-($AS56),0))</f>
        <v>55765.854184974101</v>
      </c>
      <c r="AX56" s="89">
        <f>IF(F$67=0,IF($AS56&lt;F$4,F$55*(1+Overview!$B$53)^-($AS56),0),IF($AS56&lt;F$4,F$67*(1+Overview!$B$53)^-($AS56),0))</f>
        <v>41824.390638730576</v>
      </c>
      <c r="AY56" s="89">
        <f>IF(G$67=0,IF($AS56&lt;G$4,G$55*(1+Overview!$B$53)^-($AS56),0),IF($AS56&lt;G$4,G$67*(1+Overview!$B$53)^-($AS56),0))</f>
        <v>41824.390638730576</v>
      </c>
      <c r="AZ56" s="89">
        <f>IF(E$68=0,IF($AS56&lt;E$4,E$56*(1+Overview!$B$53)^-($AS56),0),IF($AS56&lt;E$4,E$68*(1+Overview!$B$53)^-($AS56),0))</f>
        <v>0</v>
      </c>
      <c r="BA56" s="89">
        <f>IF(F$68=0,IF($AS56&lt;F$4,F$56*(1+Overview!$B$53)^-($AS56),0),IF($AS56&lt;F$4,F$68*(1+Overview!$B$53)^-($AS56),0))</f>
        <v>0</v>
      </c>
      <c r="BB56" s="89">
        <f>IF(G$68=0,IF($AS56&lt;G$4,G$56*(1+Overview!$B$53)^-($AS56),0),IF($AS56&lt;G$4,G$68*(1+Overview!$B$53)^-($AS56),0))</f>
        <v>0</v>
      </c>
      <c r="BC56" s="89">
        <f>IF(E$69=0,IF($AS56&lt;E$4,E$57*(1+Overview!$B$53)^-($AS56),0),IF($AS56&lt;E$4,E$69*(1+Overview!$B$53)^-($AS56),0))</f>
        <v>0</v>
      </c>
      <c r="BD56" s="89">
        <f>IF(F$69=0,IF($AS56&lt;F$4,F$57*(1+Overview!$B$53)^-($AS56),0),IF($AS56&lt;F$4,F$69*(1+Overview!$B$53)^-($AS56),0))</f>
        <v>0</v>
      </c>
      <c r="BE56" s="95">
        <f>IF(G$69=0,IF($AS56&lt;G$4,G$57*(1+Overview!$B$53)^-($AS56),0),IF($AS56&lt;G$4,G$69*(1+Overview!$B$53)^-($AS56),0))</f>
        <v>0</v>
      </c>
      <c r="BF56" s="1"/>
    </row>
    <row r="57" spans="1:58" x14ac:dyDescent="0.3">
      <c r="A57" s="33"/>
      <c r="B57" s="189"/>
      <c r="C57" s="189" t="s">
        <v>133</v>
      </c>
      <c r="D57" s="189" t="s">
        <v>129</v>
      </c>
      <c r="E57" s="201">
        <f t="shared" si="19"/>
        <v>0</v>
      </c>
      <c r="F57" s="202">
        <f t="shared" si="19"/>
        <v>0</v>
      </c>
      <c r="G57" s="203">
        <f t="shared" si="19"/>
        <v>0</v>
      </c>
      <c r="H57" s="194" t="s">
        <v>60</v>
      </c>
      <c r="I57" s="70"/>
      <c r="J57" s="70"/>
      <c r="K57" s="139"/>
      <c r="L57" s="33"/>
      <c r="M57" s="33"/>
      <c r="N57" s="33"/>
      <c r="O57" s="33"/>
      <c r="P57" s="142"/>
      <c r="Q57" s="151"/>
      <c r="R57" s="118">
        <f t="shared" si="4"/>
        <v>50</v>
      </c>
      <c r="S57" s="94">
        <f t="shared" si="15"/>
        <v>0</v>
      </c>
      <c r="T57" s="89">
        <f t="shared" si="15"/>
        <v>0</v>
      </c>
      <c r="U57" s="95">
        <f t="shared" si="15"/>
        <v>0</v>
      </c>
      <c r="V57" s="94">
        <f t="shared" si="16"/>
        <v>0</v>
      </c>
      <c r="W57" s="89">
        <f t="shared" si="16"/>
        <v>0</v>
      </c>
      <c r="X57" s="95">
        <f t="shared" si="16"/>
        <v>0</v>
      </c>
      <c r="Y57" s="89"/>
      <c r="Z57" s="118">
        <f t="shared" si="5"/>
        <v>51</v>
      </c>
      <c r="AA57" s="94">
        <f t="shared" si="17"/>
        <v>17299.842949589955</v>
      </c>
      <c r="AB57" s="89">
        <f t="shared" si="17"/>
        <v>8649.9214747949773</v>
      </c>
      <c r="AC57" s="95">
        <f t="shared" si="17"/>
        <v>8649.9214747949773</v>
      </c>
      <c r="AD57" s="94">
        <f t="shared" si="18"/>
        <v>53880.052352631996</v>
      </c>
      <c r="AE57" s="89">
        <f t="shared" si="18"/>
        <v>40410.039264473991</v>
      </c>
      <c r="AF57" s="95">
        <f t="shared" si="18"/>
        <v>40410.039264473991</v>
      </c>
      <c r="AG57" s="84"/>
      <c r="AH57" s="118">
        <f t="shared" si="6"/>
        <v>50</v>
      </c>
      <c r="AI57" s="94">
        <f>IF(E$5*$AH57&lt;E$5*E$14,(E$19*E$6*(1+Overview!$B$53)^-(E$5*$AH57)),0)</f>
        <v>0</v>
      </c>
      <c r="AJ57" s="89">
        <f>IF(F$5*$AH57&lt;F$5*F$14,(F$19*F$6*(1+Overview!$B$53)^-(F$5*$AH57)),0)</f>
        <v>0</v>
      </c>
      <c r="AK57" s="95">
        <f>IF(G$5*$AH57&lt;G$5*G$14,(G$19*G$6*(1+Overview!$B$53)^-(G$5*$AH57)),0)</f>
        <v>0</v>
      </c>
      <c r="AL57" s="94">
        <f>IF($AH57=0,0,IF(E$5*$AH57&lt;=E$5*E$14,(E$22*E$6*(1+Overview!$B$53)^-(E$5*$AH57)),0))</f>
        <v>0</v>
      </c>
      <c r="AM57" s="89">
        <f>IF($AH57=0,0,IF(F$5*$AH57&lt;=F$5*F$14,(F$22*F$6*(1+Overview!$B$53)^-(F$5*$AH57)),0))</f>
        <v>0</v>
      </c>
      <c r="AN57" s="95">
        <f>IF($AH57=0,0,IF(G$5*$AH57&lt;=G$5*G$14,(G$22*G$6*(1+Overview!$B$53)^-(G$5*$AH57)),0))</f>
        <v>0</v>
      </c>
      <c r="AO57" s="94">
        <f>IF(E$16&gt;0,IF($AH56*E$14=E$4,-(E$16/E$5)*E$19*E$6*(1+Overview!$B$53)^-E$4+(E$22*E$6*(1+Overview!$B$53)^-E$4),0),0)</f>
        <v>0</v>
      </c>
      <c r="AP57" s="89">
        <f>IF(F$16&gt;0,IF($AH56*F$14=F$4,-(F$16/F$5)*F$19*F$6*(1+Overview!$B$53)^-F$4+(F$22*F$6*(1+Overview!$B$53)^-F$4),0),0)</f>
        <v>0</v>
      </c>
      <c r="AQ57" s="95">
        <f>IF(G$16&gt;0,IF($AH56*G$14=G$4,-(G$16/G$5)*G$19*G$6*(1+Overview!$B$53)^-G$4+(G$22*G$6*(1+Overview!$B$53)^-G$4),0),0)</f>
        <v>0</v>
      </c>
      <c r="AR57" s="84"/>
      <c r="AS57" s="109">
        <f t="shared" si="7"/>
        <v>51</v>
      </c>
      <c r="AT57" s="94">
        <f>IF($AS57&lt;E$4,E$20*E$6*E$11*(1+Overview!$B$53)^-($AS57),0)</f>
        <v>17299.842949589955</v>
      </c>
      <c r="AU57" s="89">
        <f>IF($AS57&lt;F$4,F$20*F$6*F$11*(1+Overview!$B$53)^-($AS57),0)</f>
        <v>8649.9214747949773</v>
      </c>
      <c r="AV57" s="89">
        <f>IF($AS57&lt;G$4,G$20*G$6*G$11*(1+Overview!$B$53)^-($AS57),0)</f>
        <v>8649.9214747949773</v>
      </c>
      <c r="AW57" s="94">
        <f>IF(E$67=0,IF($AS57&lt;E$4,E$55*(1+Overview!$B$53)^-($AS57),0),IF($AS57&lt;E$4,E$67*(1+Overview!$B$53)^-($AS57),0))</f>
        <v>53880.052352631996</v>
      </c>
      <c r="AX57" s="89">
        <f>IF(F$67=0,IF($AS57&lt;F$4,F$55*(1+Overview!$B$53)^-($AS57),0),IF($AS57&lt;F$4,F$67*(1+Overview!$B$53)^-($AS57),0))</f>
        <v>40410.039264473991</v>
      </c>
      <c r="AY57" s="89">
        <f>IF(G$67=0,IF($AS57&lt;G$4,G$55*(1+Overview!$B$53)^-($AS57),0),IF($AS57&lt;G$4,G$67*(1+Overview!$B$53)^-($AS57),0))</f>
        <v>40410.039264473991</v>
      </c>
      <c r="AZ57" s="89">
        <f>IF(E$68=0,IF($AS57&lt;E$4,E$56*(1+Overview!$B$53)^-($AS57),0),IF($AS57&lt;E$4,E$68*(1+Overview!$B$53)^-($AS57),0))</f>
        <v>0</v>
      </c>
      <c r="BA57" s="89">
        <f>IF(F$68=0,IF($AS57&lt;F$4,F$56*(1+Overview!$B$53)^-($AS57),0),IF($AS57&lt;F$4,F$68*(1+Overview!$B$53)^-($AS57),0))</f>
        <v>0</v>
      </c>
      <c r="BB57" s="89">
        <f>IF(G$68=0,IF($AS57&lt;G$4,G$56*(1+Overview!$B$53)^-($AS57),0),IF($AS57&lt;G$4,G$68*(1+Overview!$B$53)^-($AS57),0))</f>
        <v>0</v>
      </c>
      <c r="BC57" s="89">
        <f>IF(E$69=0,IF($AS57&lt;E$4,E$57*(1+Overview!$B$53)^-($AS57),0),IF($AS57&lt;E$4,E$69*(1+Overview!$B$53)^-($AS57),0))</f>
        <v>0</v>
      </c>
      <c r="BD57" s="89">
        <f>IF(F$69=0,IF($AS57&lt;F$4,F$57*(1+Overview!$B$53)^-($AS57),0),IF($AS57&lt;F$4,F$69*(1+Overview!$B$53)^-($AS57),0))</f>
        <v>0</v>
      </c>
      <c r="BE57" s="95">
        <f>IF(G$69=0,IF($AS57&lt;G$4,G$57*(1+Overview!$B$53)^-($AS57),0),IF($AS57&lt;G$4,G$69*(1+Overview!$B$53)^-($AS57),0))</f>
        <v>0</v>
      </c>
      <c r="BF57" s="1"/>
    </row>
    <row r="58" spans="1:58" x14ac:dyDescent="0.3">
      <c r="A58" s="33"/>
      <c r="B58" s="189"/>
      <c r="C58" s="189"/>
      <c r="D58" s="189"/>
      <c r="E58" s="189"/>
      <c r="F58" s="189"/>
      <c r="G58" s="189"/>
      <c r="H58" s="189"/>
      <c r="I58" s="33"/>
      <c r="J58" s="33"/>
      <c r="K58" s="77"/>
      <c r="L58" s="33"/>
      <c r="M58" s="33"/>
      <c r="N58" s="33"/>
      <c r="O58" s="33"/>
      <c r="P58" s="33"/>
      <c r="Q58" s="151"/>
      <c r="R58" s="118">
        <f t="shared" si="4"/>
        <v>51</v>
      </c>
      <c r="S58" s="94">
        <f t="shared" si="15"/>
        <v>0</v>
      </c>
      <c r="T58" s="89">
        <f t="shared" si="15"/>
        <v>0</v>
      </c>
      <c r="U58" s="95">
        <f t="shared" si="15"/>
        <v>0</v>
      </c>
      <c r="V58" s="94">
        <f t="shared" si="16"/>
        <v>0</v>
      </c>
      <c r="W58" s="89">
        <f t="shared" si="16"/>
        <v>0</v>
      </c>
      <c r="X58" s="95">
        <f t="shared" si="16"/>
        <v>0</v>
      </c>
      <c r="Y58" s="89"/>
      <c r="Z58" s="118">
        <f t="shared" si="5"/>
        <v>52</v>
      </c>
      <c r="AA58" s="94">
        <f t="shared" si="17"/>
        <v>16714.824105884014</v>
      </c>
      <c r="AB58" s="89">
        <f t="shared" si="17"/>
        <v>8357.412052942007</v>
      </c>
      <c r="AC58" s="95">
        <f t="shared" si="17"/>
        <v>8357.412052942007</v>
      </c>
      <c r="AD58" s="94">
        <f t="shared" si="18"/>
        <v>52058.021596745893</v>
      </c>
      <c r="AE58" s="89">
        <f t="shared" si="18"/>
        <v>39043.516197559416</v>
      </c>
      <c r="AF58" s="95">
        <f t="shared" si="18"/>
        <v>39043.516197559416</v>
      </c>
      <c r="AG58" s="84"/>
      <c r="AH58" s="118">
        <f t="shared" si="6"/>
        <v>51</v>
      </c>
      <c r="AI58" s="94">
        <f>IF(E$5*$AH58&lt;E$5*E$14,(E$19*E$6*(1+Overview!$B$53)^-(E$5*$AH58)),0)</f>
        <v>0</v>
      </c>
      <c r="AJ58" s="89">
        <f>IF(F$5*$AH58&lt;F$5*F$14,(F$19*F$6*(1+Overview!$B$53)^-(F$5*$AH58)),0)</f>
        <v>0</v>
      </c>
      <c r="AK58" s="95">
        <f>IF(G$5*$AH58&lt;G$5*G$14,(G$19*G$6*(1+Overview!$B$53)^-(G$5*$AH58)),0)</f>
        <v>0</v>
      </c>
      <c r="AL58" s="94">
        <f>IF($AH58=0,0,IF(E$5*$AH58&lt;=E$5*E$14,(E$22*E$6*(1+Overview!$B$53)^-(E$5*$AH58)),0))</f>
        <v>0</v>
      </c>
      <c r="AM58" s="89">
        <f>IF($AH58=0,0,IF(F$5*$AH58&lt;=F$5*F$14,(F$22*F$6*(1+Overview!$B$53)^-(F$5*$AH58)),0))</f>
        <v>0</v>
      </c>
      <c r="AN58" s="95">
        <f>IF($AH58=0,0,IF(G$5*$AH58&lt;=G$5*G$14,(G$22*G$6*(1+Overview!$B$53)^-(G$5*$AH58)),0))</f>
        <v>0</v>
      </c>
      <c r="AO58" s="94">
        <f>IF(E$16&gt;0,IF($AH57*E$14=E$4,-(E$16/E$5)*E$19*E$6*(1+Overview!$B$53)^-E$4+(E$22*E$6*(1+Overview!$B$53)^-E$4),0),0)</f>
        <v>0</v>
      </c>
      <c r="AP58" s="89">
        <f>IF(F$16&gt;0,IF($AH57*F$14=F$4,-(F$16/F$5)*F$19*F$6*(1+Overview!$B$53)^-F$4+(F$22*F$6*(1+Overview!$B$53)^-F$4),0),0)</f>
        <v>0</v>
      </c>
      <c r="AQ58" s="95">
        <f>IF(G$16&gt;0,IF($AH57*G$14=G$4,-(G$16/G$5)*G$19*G$6*(1+Overview!$B$53)^-G$4+(G$22*G$6*(1+Overview!$B$53)^-G$4),0),0)</f>
        <v>0</v>
      </c>
      <c r="AR58" s="84"/>
      <c r="AS58" s="109">
        <f t="shared" si="7"/>
        <v>52</v>
      </c>
      <c r="AT58" s="94">
        <f>IF($AS58&lt;E$4,E$20*E$6*E$11*(1+Overview!$B$53)^-($AS58),0)</f>
        <v>16714.824105884014</v>
      </c>
      <c r="AU58" s="89">
        <f>IF($AS58&lt;F$4,F$20*F$6*F$11*(1+Overview!$B$53)^-($AS58),0)</f>
        <v>8357.412052942007</v>
      </c>
      <c r="AV58" s="89">
        <f>IF($AS58&lt;G$4,G$20*G$6*G$11*(1+Overview!$B$53)^-($AS58),0)</f>
        <v>8357.412052942007</v>
      </c>
      <c r="AW58" s="94">
        <f>IF(E$67=0,IF($AS58&lt;E$4,E$55*(1+Overview!$B$53)^-($AS58),0),IF($AS58&lt;E$4,E$67*(1+Overview!$B$53)^-($AS58),0))</f>
        <v>52058.021596745893</v>
      </c>
      <c r="AX58" s="89">
        <f>IF(F$67=0,IF($AS58&lt;F$4,F$55*(1+Overview!$B$53)^-($AS58),0),IF($AS58&lt;F$4,F$67*(1+Overview!$B$53)^-($AS58),0))</f>
        <v>39043.516197559416</v>
      </c>
      <c r="AY58" s="89">
        <f>IF(G$67=0,IF($AS58&lt;G$4,G$55*(1+Overview!$B$53)^-($AS58),0),IF($AS58&lt;G$4,G$67*(1+Overview!$B$53)^-($AS58),0))</f>
        <v>39043.516197559416</v>
      </c>
      <c r="AZ58" s="89">
        <f>IF(E$68=0,IF($AS58&lt;E$4,E$56*(1+Overview!$B$53)^-($AS58),0),IF($AS58&lt;E$4,E$68*(1+Overview!$B$53)^-($AS58),0))</f>
        <v>0</v>
      </c>
      <c r="BA58" s="89">
        <f>IF(F$68=0,IF($AS58&lt;F$4,F$56*(1+Overview!$B$53)^-($AS58),0),IF($AS58&lt;F$4,F$68*(1+Overview!$B$53)^-($AS58),0))</f>
        <v>0</v>
      </c>
      <c r="BB58" s="89">
        <f>IF(G$68=0,IF($AS58&lt;G$4,G$56*(1+Overview!$B$53)^-($AS58),0),IF($AS58&lt;G$4,G$68*(1+Overview!$B$53)^-($AS58),0))</f>
        <v>0</v>
      </c>
      <c r="BC58" s="89">
        <f>IF(E$69=0,IF($AS58&lt;E$4,E$57*(1+Overview!$B$53)^-($AS58),0),IF($AS58&lt;E$4,E$69*(1+Overview!$B$53)^-($AS58),0))</f>
        <v>0</v>
      </c>
      <c r="BD58" s="89">
        <f>IF(F$69=0,IF($AS58&lt;F$4,F$57*(1+Overview!$B$53)^-($AS58),0),IF($AS58&lt;F$4,F$69*(1+Overview!$B$53)^-($AS58),0))</f>
        <v>0</v>
      </c>
      <c r="BE58" s="95">
        <f>IF(G$69=0,IF($AS58&lt;G$4,G$57*(1+Overview!$B$53)^-($AS58),0),IF($AS58&lt;G$4,G$69*(1+Overview!$B$53)^-($AS58),0))</f>
        <v>0</v>
      </c>
      <c r="BF58" s="1"/>
    </row>
    <row r="59" spans="1:58" x14ac:dyDescent="0.3">
      <c r="A59" s="33"/>
      <c r="B59" s="189" t="s">
        <v>135</v>
      </c>
      <c r="C59" s="189" t="s">
        <v>136</v>
      </c>
      <c r="D59" s="189" t="s">
        <v>137</v>
      </c>
      <c r="E59" s="201">
        <f>E55/(E$12*E$11)</f>
        <v>77862.054166666683</v>
      </c>
      <c r="F59" s="202">
        <f>F55/(F$12*F$11)</f>
        <v>77862.054166666683</v>
      </c>
      <c r="G59" s="203">
        <f>G55/(G$12*G$11)</f>
        <v>77862.054166666683</v>
      </c>
      <c r="H59" s="194" t="s">
        <v>60</v>
      </c>
      <c r="I59" s="123" t="s">
        <v>138</v>
      </c>
      <c r="J59" s="33"/>
      <c r="K59" s="77"/>
      <c r="L59" s="33"/>
      <c r="M59" s="33"/>
      <c r="N59" s="33"/>
      <c r="O59" s="33"/>
      <c r="P59" s="33"/>
      <c r="Q59" s="151"/>
      <c r="R59" s="118">
        <f t="shared" si="4"/>
        <v>52</v>
      </c>
      <c r="S59" s="94">
        <f t="shared" si="15"/>
        <v>0</v>
      </c>
      <c r="T59" s="89">
        <f t="shared" si="15"/>
        <v>0</v>
      </c>
      <c r="U59" s="95">
        <f t="shared" si="15"/>
        <v>0</v>
      </c>
      <c r="V59" s="94">
        <f t="shared" si="16"/>
        <v>0</v>
      </c>
      <c r="W59" s="89">
        <f t="shared" si="16"/>
        <v>0</v>
      </c>
      <c r="X59" s="95">
        <f t="shared" si="16"/>
        <v>0</v>
      </c>
      <c r="Y59" s="89"/>
      <c r="Z59" s="118">
        <f t="shared" si="5"/>
        <v>53</v>
      </c>
      <c r="AA59" s="94">
        <f t="shared" si="17"/>
        <v>16149.588508100502</v>
      </c>
      <c r="AB59" s="89">
        <f t="shared" si="17"/>
        <v>8074.7942540502509</v>
      </c>
      <c r="AC59" s="95">
        <f t="shared" si="17"/>
        <v>8074.7942540502509</v>
      </c>
      <c r="AD59" s="94">
        <f t="shared" si="18"/>
        <v>50297.605407483963</v>
      </c>
      <c r="AE59" s="89">
        <f t="shared" si="18"/>
        <v>37723.204055612965</v>
      </c>
      <c r="AF59" s="95">
        <f t="shared" si="18"/>
        <v>37723.204055612965</v>
      </c>
      <c r="AG59" s="84"/>
      <c r="AH59" s="118">
        <f t="shared" si="6"/>
        <v>52</v>
      </c>
      <c r="AI59" s="94">
        <f>IF(E$5*$AH59&lt;E$5*E$14,(E$19*E$6*(1+Overview!$B$53)^-(E$5*$AH59)),0)</f>
        <v>0</v>
      </c>
      <c r="AJ59" s="89">
        <f>IF(F$5*$AH59&lt;F$5*F$14,(F$19*F$6*(1+Overview!$B$53)^-(F$5*$AH59)),0)</f>
        <v>0</v>
      </c>
      <c r="AK59" s="95">
        <f>IF(G$5*$AH59&lt;G$5*G$14,(G$19*G$6*(1+Overview!$B$53)^-(G$5*$AH59)),0)</f>
        <v>0</v>
      </c>
      <c r="AL59" s="94">
        <f>IF($AH59=0,0,IF(E$5*$AH59&lt;=E$5*E$14,(E$22*E$6*(1+Overview!$B$53)^-(E$5*$AH59)),0))</f>
        <v>0</v>
      </c>
      <c r="AM59" s="89">
        <f>IF($AH59=0,0,IF(F$5*$AH59&lt;=F$5*F$14,(F$22*F$6*(1+Overview!$B$53)^-(F$5*$AH59)),0))</f>
        <v>0</v>
      </c>
      <c r="AN59" s="95">
        <f>IF($AH59=0,0,IF(G$5*$AH59&lt;=G$5*G$14,(G$22*G$6*(1+Overview!$B$53)^-(G$5*$AH59)),0))</f>
        <v>0</v>
      </c>
      <c r="AO59" s="94">
        <f>IF(E$16&gt;0,IF($AH58*E$14=E$4,-(E$16/E$5)*E$19*E$6*(1+Overview!$B$53)^-E$4+(E$22*E$6*(1+Overview!$B$53)^-E$4),0),0)</f>
        <v>0</v>
      </c>
      <c r="AP59" s="89">
        <f>IF(F$16&gt;0,IF($AH58*F$14=F$4,-(F$16/F$5)*F$19*F$6*(1+Overview!$B$53)^-F$4+(F$22*F$6*(1+Overview!$B$53)^-F$4),0),0)</f>
        <v>0</v>
      </c>
      <c r="AQ59" s="95">
        <f>IF(G$16&gt;0,IF($AH58*G$14=G$4,-(G$16/G$5)*G$19*G$6*(1+Overview!$B$53)^-G$4+(G$22*G$6*(1+Overview!$B$53)^-G$4),0),0)</f>
        <v>0</v>
      </c>
      <c r="AR59" s="84"/>
      <c r="AS59" s="109">
        <f t="shared" si="7"/>
        <v>53</v>
      </c>
      <c r="AT59" s="94">
        <f>IF($AS59&lt;E$4,E$20*E$6*E$11*(1+Overview!$B$53)^-($AS59),0)</f>
        <v>16149.588508100502</v>
      </c>
      <c r="AU59" s="89">
        <f>IF($AS59&lt;F$4,F$20*F$6*F$11*(1+Overview!$B$53)^-($AS59),0)</f>
        <v>8074.7942540502509</v>
      </c>
      <c r="AV59" s="89">
        <f>IF($AS59&lt;G$4,G$20*G$6*G$11*(1+Overview!$B$53)^-($AS59),0)</f>
        <v>8074.7942540502509</v>
      </c>
      <c r="AW59" s="94">
        <f>IF(E$67=0,IF($AS59&lt;E$4,E$55*(1+Overview!$B$53)^-($AS59),0),IF($AS59&lt;E$4,E$67*(1+Overview!$B$53)^-($AS59),0))</f>
        <v>50297.605407483963</v>
      </c>
      <c r="AX59" s="89">
        <f>IF(F$67=0,IF($AS59&lt;F$4,F$55*(1+Overview!$B$53)^-($AS59),0),IF($AS59&lt;F$4,F$67*(1+Overview!$B$53)^-($AS59),0))</f>
        <v>37723.204055612965</v>
      </c>
      <c r="AY59" s="89">
        <f>IF(G$67=0,IF($AS59&lt;G$4,G$55*(1+Overview!$B$53)^-($AS59),0),IF($AS59&lt;G$4,G$67*(1+Overview!$B$53)^-($AS59),0))</f>
        <v>37723.204055612965</v>
      </c>
      <c r="AZ59" s="89">
        <f>IF(E$68=0,IF($AS59&lt;E$4,E$56*(1+Overview!$B$53)^-($AS59),0),IF($AS59&lt;E$4,E$68*(1+Overview!$B$53)^-($AS59),0))</f>
        <v>0</v>
      </c>
      <c r="BA59" s="89">
        <f>IF(F$68=0,IF($AS59&lt;F$4,F$56*(1+Overview!$B$53)^-($AS59),0),IF($AS59&lt;F$4,F$68*(1+Overview!$B$53)^-($AS59),0))</f>
        <v>0</v>
      </c>
      <c r="BB59" s="89">
        <f>IF(G$68=0,IF($AS59&lt;G$4,G$56*(1+Overview!$B$53)^-($AS59),0),IF($AS59&lt;G$4,G$68*(1+Overview!$B$53)^-($AS59),0))</f>
        <v>0</v>
      </c>
      <c r="BC59" s="89">
        <f>IF(E$69=0,IF($AS59&lt;E$4,E$57*(1+Overview!$B$53)^-($AS59),0),IF($AS59&lt;E$4,E$69*(1+Overview!$B$53)^-($AS59),0))</f>
        <v>0</v>
      </c>
      <c r="BD59" s="89">
        <f>IF(F$69=0,IF($AS59&lt;F$4,F$57*(1+Overview!$B$53)^-($AS59),0),IF($AS59&lt;F$4,F$69*(1+Overview!$B$53)^-($AS59),0))</f>
        <v>0</v>
      </c>
      <c r="BE59" s="95">
        <f>IF(G$69=0,IF($AS59&lt;G$4,G$57*(1+Overview!$B$53)^-($AS59),0),IF($AS59&lt;G$4,G$69*(1+Overview!$B$53)^-($AS59),0))</f>
        <v>0</v>
      </c>
      <c r="BF59" s="1"/>
    </row>
    <row r="60" spans="1:58" x14ac:dyDescent="0.3">
      <c r="A60" s="33"/>
      <c r="B60" s="189"/>
      <c r="C60" s="189" t="s">
        <v>139</v>
      </c>
      <c r="D60" s="189" t="s">
        <v>137</v>
      </c>
      <c r="E60" s="201">
        <f t="shared" ref="E60:G61" si="20">E56/(E$12*E$11)</f>
        <v>0</v>
      </c>
      <c r="F60" s="202">
        <f t="shared" si="20"/>
        <v>0</v>
      </c>
      <c r="G60" s="203">
        <f t="shared" si="20"/>
        <v>0</v>
      </c>
      <c r="H60" s="194" t="s">
        <v>60</v>
      </c>
      <c r="I60" s="33"/>
      <c r="J60" s="33"/>
      <c r="K60" s="77"/>
      <c r="L60" s="33"/>
      <c r="M60" s="33"/>
      <c r="N60" s="33"/>
      <c r="O60" s="33"/>
      <c r="P60" s="33"/>
      <c r="Q60" s="151"/>
      <c r="R60" s="118">
        <f t="shared" si="4"/>
        <v>53</v>
      </c>
      <c r="S60" s="94">
        <f t="shared" si="15"/>
        <v>0</v>
      </c>
      <c r="T60" s="89">
        <f t="shared" si="15"/>
        <v>0</v>
      </c>
      <c r="U60" s="95">
        <f t="shared" si="15"/>
        <v>0</v>
      </c>
      <c r="V60" s="94">
        <f t="shared" si="16"/>
        <v>0</v>
      </c>
      <c r="W60" s="89">
        <f t="shared" si="16"/>
        <v>0</v>
      </c>
      <c r="X60" s="95">
        <f t="shared" si="16"/>
        <v>0</v>
      </c>
      <c r="Y60" s="89"/>
      <c r="Z60" s="118">
        <f t="shared" si="5"/>
        <v>54</v>
      </c>
      <c r="AA60" s="94">
        <f t="shared" si="17"/>
        <v>15603.467157585026</v>
      </c>
      <c r="AB60" s="89">
        <f t="shared" si="17"/>
        <v>7801.7335787925131</v>
      </c>
      <c r="AC60" s="95">
        <f t="shared" si="17"/>
        <v>7801.7335787925131</v>
      </c>
      <c r="AD60" s="94">
        <f t="shared" si="18"/>
        <v>48596.7202004676</v>
      </c>
      <c r="AE60" s="89">
        <f t="shared" si="18"/>
        <v>36447.540150350695</v>
      </c>
      <c r="AF60" s="95">
        <f t="shared" si="18"/>
        <v>36447.540150350695</v>
      </c>
      <c r="AG60" s="84"/>
      <c r="AH60" s="118">
        <f t="shared" si="6"/>
        <v>53</v>
      </c>
      <c r="AI60" s="94">
        <f>IF(E$5*$AH60&lt;E$5*E$14,(E$19*E$6*(1+Overview!$B$53)^-(E$5*$AH60)),0)</f>
        <v>0</v>
      </c>
      <c r="AJ60" s="89">
        <f>IF(F$5*$AH60&lt;F$5*F$14,(F$19*F$6*(1+Overview!$B$53)^-(F$5*$AH60)),0)</f>
        <v>0</v>
      </c>
      <c r="AK60" s="95">
        <f>IF(G$5*$AH60&lt;G$5*G$14,(G$19*G$6*(1+Overview!$B$53)^-(G$5*$AH60)),0)</f>
        <v>0</v>
      </c>
      <c r="AL60" s="94">
        <f>IF($AH60=0,0,IF(E$5*$AH60&lt;=E$5*E$14,(E$22*E$6*(1+Overview!$B$53)^-(E$5*$AH60)),0))</f>
        <v>0</v>
      </c>
      <c r="AM60" s="89">
        <f>IF($AH60=0,0,IF(F$5*$AH60&lt;=F$5*F$14,(F$22*F$6*(1+Overview!$B$53)^-(F$5*$AH60)),0))</f>
        <v>0</v>
      </c>
      <c r="AN60" s="95">
        <f>IF($AH60=0,0,IF(G$5*$AH60&lt;=G$5*G$14,(G$22*G$6*(1+Overview!$B$53)^-(G$5*$AH60)),0))</f>
        <v>0</v>
      </c>
      <c r="AO60" s="94">
        <f>IF(E$16&gt;0,IF($AH59*E$14=E$4,-(E$16/E$5)*E$19*E$6*(1+Overview!$B$53)^-E$4+(E$22*E$6*(1+Overview!$B$53)^-E$4),0),0)</f>
        <v>0</v>
      </c>
      <c r="AP60" s="89">
        <f>IF(F$16&gt;0,IF($AH59*F$14=F$4,-(F$16/F$5)*F$19*F$6*(1+Overview!$B$53)^-F$4+(F$22*F$6*(1+Overview!$B$53)^-F$4),0),0)</f>
        <v>0</v>
      </c>
      <c r="AQ60" s="95">
        <f>IF(G$16&gt;0,IF($AH59*G$14=G$4,-(G$16/G$5)*G$19*G$6*(1+Overview!$B$53)^-G$4+(G$22*G$6*(1+Overview!$B$53)^-G$4),0),0)</f>
        <v>0</v>
      </c>
      <c r="AR60" s="84"/>
      <c r="AS60" s="109">
        <f t="shared" si="7"/>
        <v>54</v>
      </c>
      <c r="AT60" s="94">
        <f>IF($AS60&lt;E$4,E$20*E$6*E$11*(1+Overview!$B$53)^-($AS60),0)</f>
        <v>15603.467157585026</v>
      </c>
      <c r="AU60" s="89">
        <f>IF($AS60&lt;F$4,F$20*F$6*F$11*(1+Overview!$B$53)^-($AS60),0)</f>
        <v>7801.7335787925131</v>
      </c>
      <c r="AV60" s="89">
        <f>IF($AS60&lt;G$4,G$20*G$6*G$11*(1+Overview!$B$53)^-($AS60),0)</f>
        <v>7801.7335787925131</v>
      </c>
      <c r="AW60" s="94">
        <f>IF(E$67=0,IF($AS60&lt;E$4,E$55*(1+Overview!$B$53)^-($AS60),0),IF($AS60&lt;E$4,E$67*(1+Overview!$B$53)^-($AS60),0))</f>
        <v>48596.7202004676</v>
      </c>
      <c r="AX60" s="89">
        <f>IF(F$67=0,IF($AS60&lt;F$4,F$55*(1+Overview!$B$53)^-($AS60),0),IF($AS60&lt;F$4,F$67*(1+Overview!$B$53)^-($AS60),0))</f>
        <v>36447.540150350695</v>
      </c>
      <c r="AY60" s="89">
        <f>IF(G$67=0,IF($AS60&lt;G$4,G$55*(1+Overview!$B$53)^-($AS60),0),IF($AS60&lt;G$4,G$67*(1+Overview!$B$53)^-($AS60),0))</f>
        <v>36447.540150350695</v>
      </c>
      <c r="AZ60" s="89">
        <f>IF(E$68=0,IF($AS60&lt;E$4,E$56*(1+Overview!$B$53)^-($AS60),0),IF($AS60&lt;E$4,E$68*(1+Overview!$B$53)^-($AS60),0))</f>
        <v>0</v>
      </c>
      <c r="BA60" s="89">
        <f>IF(F$68=0,IF($AS60&lt;F$4,F$56*(1+Overview!$B$53)^-($AS60),0),IF($AS60&lt;F$4,F$68*(1+Overview!$B$53)^-($AS60),0))</f>
        <v>0</v>
      </c>
      <c r="BB60" s="89">
        <f>IF(G$68=0,IF($AS60&lt;G$4,G$56*(1+Overview!$B$53)^-($AS60),0),IF($AS60&lt;G$4,G$68*(1+Overview!$B$53)^-($AS60),0))</f>
        <v>0</v>
      </c>
      <c r="BC60" s="89">
        <f>IF(E$69=0,IF($AS60&lt;E$4,E$57*(1+Overview!$B$53)^-($AS60),0),IF($AS60&lt;E$4,E$69*(1+Overview!$B$53)^-($AS60),0))</f>
        <v>0</v>
      </c>
      <c r="BD60" s="89">
        <f>IF(F$69=0,IF($AS60&lt;F$4,F$57*(1+Overview!$B$53)^-($AS60),0),IF($AS60&lt;F$4,F$69*(1+Overview!$B$53)^-($AS60),0))</f>
        <v>0</v>
      </c>
      <c r="BE60" s="95">
        <f>IF(G$69=0,IF($AS60&lt;G$4,G$57*(1+Overview!$B$53)^-($AS60),0),IF($AS60&lt;G$4,G$69*(1+Overview!$B$53)^-($AS60),0))</f>
        <v>0</v>
      </c>
      <c r="BF60" s="1"/>
    </row>
    <row r="61" spans="1:58" x14ac:dyDescent="0.3">
      <c r="A61" s="33"/>
      <c r="B61" s="189"/>
      <c r="C61" s="189" t="s">
        <v>140</v>
      </c>
      <c r="D61" s="189" t="s">
        <v>137</v>
      </c>
      <c r="E61" s="201">
        <f t="shared" si="20"/>
        <v>0</v>
      </c>
      <c r="F61" s="202">
        <f t="shared" si="20"/>
        <v>0</v>
      </c>
      <c r="G61" s="203">
        <f t="shared" si="20"/>
        <v>0</v>
      </c>
      <c r="H61" s="194" t="s">
        <v>60</v>
      </c>
      <c r="I61" s="33"/>
      <c r="J61" s="33"/>
      <c r="K61" s="77"/>
      <c r="L61" s="33"/>
      <c r="M61" s="33"/>
      <c r="N61" s="33"/>
      <c r="O61" s="33"/>
      <c r="P61" s="33"/>
      <c r="Q61" s="151"/>
      <c r="R61" s="118">
        <f t="shared" si="4"/>
        <v>54</v>
      </c>
      <c r="S61" s="94">
        <f t="shared" si="15"/>
        <v>0</v>
      </c>
      <c r="T61" s="89">
        <f t="shared" si="15"/>
        <v>0</v>
      </c>
      <c r="U61" s="95">
        <f t="shared" si="15"/>
        <v>0</v>
      </c>
      <c r="V61" s="94">
        <f t="shared" si="16"/>
        <v>0</v>
      </c>
      <c r="W61" s="89">
        <f t="shared" si="16"/>
        <v>0</v>
      </c>
      <c r="X61" s="95">
        <f t="shared" si="16"/>
        <v>0</v>
      </c>
      <c r="Y61" s="89"/>
      <c r="Z61" s="118">
        <f t="shared" si="5"/>
        <v>55</v>
      </c>
      <c r="AA61" s="94">
        <f t="shared" si="17"/>
        <v>15075.813678826111</v>
      </c>
      <c r="AB61" s="89">
        <f t="shared" si="17"/>
        <v>7537.9068394130554</v>
      </c>
      <c r="AC61" s="95">
        <f t="shared" si="17"/>
        <v>7537.9068394130554</v>
      </c>
      <c r="AD61" s="94">
        <f t="shared" si="18"/>
        <v>46953.352850693329</v>
      </c>
      <c r="AE61" s="89">
        <f t="shared" si="18"/>
        <v>35215.014638019995</v>
      </c>
      <c r="AF61" s="95">
        <f t="shared" si="18"/>
        <v>35215.014638019995</v>
      </c>
      <c r="AG61" s="84"/>
      <c r="AH61" s="118">
        <f t="shared" si="6"/>
        <v>54</v>
      </c>
      <c r="AI61" s="94">
        <f>IF(E$5*$AH61&lt;E$5*E$14,(E$19*E$6*(1+Overview!$B$53)^-(E$5*$AH61)),0)</f>
        <v>0</v>
      </c>
      <c r="AJ61" s="89">
        <f>IF(F$5*$AH61&lt;F$5*F$14,(F$19*F$6*(1+Overview!$B$53)^-(F$5*$AH61)),0)</f>
        <v>0</v>
      </c>
      <c r="AK61" s="95">
        <f>IF(G$5*$AH61&lt;G$5*G$14,(G$19*G$6*(1+Overview!$B$53)^-(G$5*$AH61)),0)</f>
        <v>0</v>
      </c>
      <c r="AL61" s="94">
        <f>IF($AH61=0,0,IF(E$5*$AH61&lt;=E$5*E$14,(E$22*E$6*(1+Overview!$B$53)^-(E$5*$AH61)),0))</f>
        <v>0</v>
      </c>
      <c r="AM61" s="89">
        <f>IF($AH61=0,0,IF(F$5*$AH61&lt;=F$5*F$14,(F$22*F$6*(1+Overview!$B$53)^-(F$5*$AH61)),0))</f>
        <v>0</v>
      </c>
      <c r="AN61" s="95">
        <f>IF($AH61=0,0,IF(G$5*$AH61&lt;=G$5*G$14,(G$22*G$6*(1+Overview!$B$53)^-(G$5*$AH61)),0))</f>
        <v>0</v>
      </c>
      <c r="AO61" s="94">
        <f>IF(E$16&gt;0,IF($AH60*E$14=E$4,-(E$16/E$5)*E$19*E$6*(1+Overview!$B$53)^-E$4+(E$22*E$6*(1+Overview!$B$53)^-E$4),0),0)</f>
        <v>0</v>
      </c>
      <c r="AP61" s="89">
        <f>IF(F$16&gt;0,IF($AH60*F$14=F$4,-(F$16/F$5)*F$19*F$6*(1+Overview!$B$53)^-F$4+(F$22*F$6*(1+Overview!$B$53)^-F$4),0),0)</f>
        <v>0</v>
      </c>
      <c r="AQ61" s="95">
        <f>IF(G$16&gt;0,IF($AH60*G$14=G$4,-(G$16/G$5)*G$19*G$6*(1+Overview!$B$53)^-G$4+(G$22*G$6*(1+Overview!$B$53)^-G$4),0),0)</f>
        <v>0</v>
      </c>
      <c r="AR61" s="84"/>
      <c r="AS61" s="109">
        <f t="shared" si="7"/>
        <v>55</v>
      </c>
      <c r="AT61" s="94">
        <f>IF($AS61&lt;E$4,E$20*E$6*E$11*(1+Overview!$B$53)^-($AS61),0)</f>
        <v>15075.813678826111</v>
      </c>
      <c r="AU61" s="89">
        <f>IF($AS61&lt;F$4,F$20*F$6*F$11*(1+Overview!$B$53)^-($AS61),0)</f>
        <v>7537.9068394130554</v>
      </c>
      <c r="AV61" s="89">
        <f>IF($AS61&lt;G$4,G$20*G$6*G$11*(1+Overview!$B$53)^-($AS61),0)</f>
        <v>7537.9068394130554</v>
      </c>
      <c r="AW61" s="94">
        <f>IF(E$67=0,IF($AS61&lt;E$4,E$55*(1+Overview!$B$53)^-($AS61),0),IF($AS61&lt;E$4,E$67*(1+Overview!$B$53)^-($AS61),0))</f>
        <v>46953.352850693329</v>
      </c>
      <c r="AX61" s="89">
        <f>IF(F$67=0,IF($AS61&lt;F$4,F$55*(1+Overview!$B$53)^-($AS61),0),IF($AS61&lt;F$4,F$67*(1+Overview!$B$53)^-($AS61),0))</f>
        <v>35215.014638019995</v>
      </c>
      <c r="AY61" s="89">
        <f>IF(G$67=0,IF($AS61&lt;G$4,G$55*(1+Overview!$B$53)^-($AS61),0),IF($AS61&lt;G$4,G$67*(1+Overview!$B$53)^-($AS61),0))</f>
        <v>35215.014638019995</v>
      </c>
      <c r="AZ61" s="89">
        <f>IF(E$68=0,IF($AS61&lt;E$4,E$56*(1+Overview!$B$53)^-($AS61),0),IF($AS61&lt;E$4,E$68*(1+Overview!$B$53)^-($AS61),0))</f>
        <v>0</v>
      </c>
      <c r="BA61" s="89">
        <f>IF(F$68=0,IF($AS61&lt;F$4,F$56*(1+Overview!$B$53)^-($AS61),0),IF($AS61&lt;F$4,F$68*(1+Overview!$B$53)^-($AS61),0))</f>
        <v>0</v>
      </c>
      <c r="BB61" s="89">
        <f>IF(G$68=0,IF($AS61&lt;G$4,G$56*(1+Overview!$B$53)^-($AS61),0),IF($AS61&lt;G$4,G$68*(1+Overview!$B$53)^-($AS61),0))</f>
        <v>0</v>
      </c>
      <c r="BC61" s="89">
        <f>IF(E$69=0,IF($AS61&lt;E$4,E$57*(1+Overview!$B$53)^-($AS61),0),IF($AS61&lt;E$4,E$69*(1+Overview!$B$53)^-($AS61),0))</f>
        <v>0</v>
      </c>
      <c r="BD61" s="89">
        <f>IF(F$69=0,IF($AS61&lt;F$4,F$57*(1+Overview!$B$53)^-($AS61),0),IF($AS61&lt;F$4,F$69*(1+Overview!$B$53)^-($AS61),0))</f>
        <v>0</v>
      </c>
      <c r="BE61" s="95">
        <f>IF(G$69=0,IF($AS61&lt;G$4,G$57*(1+Overview!$B$53)^-($AS61),0),IF($AS61&lt;G$4,G$69*(1+Overview!$B$53)^-($AS61),0))</f>
        <v>0</v>
      </c>
      <c r="BF61" s="1"/>
    </row>
    <row r="62" spans="1:58" x14ac:dyDescent="0.3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77"/>
      <c r="L62" s="33"/>
      <c r="M62" s="33"/>
      <c r="N62" s="33"/>
      <c r="O62" s="33"/>
      <c r="P62" s="33"/>
      <c r="Q62" s="151"/>
      <c r="R62" s="118">
        <f t="shared" si="4"/>
        <v>55</v>
      </c>
      <c r="S62" s="94">
        <f t="shared" si="15"/>
        <v>0</v>
      </c>
      <c r="T62" s="89">
        <f t="shared" si="15"/>
        <v>0</v>
      </c>
      <c r="U62" s="95">
        <f t="shared" si="15"/>
        <v>0</v>
      </c>
      <c r="V62" s="94">
        <f t="shared" si="16"/>
        <v>0</v>
      </c>
      <c r="W62" s="89">
        <f t="shared" si="16"/>
        <v>0</v>
      </c>
      <c r="X62" s="95">
        <f t="shared" si="16"/>
        <v>0</v>
      </c>
      <c r="Y62" s="89"/>
      <c r="Z62" s="118">
        <f t="shared" si="5"/>
        <v>56</v>
      </c>
      <c r="AA62" s="94">
        <f t="shared" si="17"/>
        <v>14566.003554421366</v>
      </c>
      <c r="AB62" s="89">
        <f t="shared" si="17"/>
        <v>7283.001777210683</v>
      </c>
      <c r="AC62" s="95">
        <f t="shared" si="17"/>
        <v>7283.001777210683</v>
      </c>
      <c r="AD62" s="94">
        <f t="shared" si="18"/>
        <v>45365.558309848639</v>
      </c>
      <c r="AE62" s="89">
        <f t="shared" si="18"/>
        <v>34024.168732386475</v>
      </c>
      <c r="AF62" s="95">
        <f t="shared" si="18"/>
        <v>34024.168732386475</v>
      </c>
      <c r="AG62" s="84"/>
      <c r="AH62" s="118">
        <f t="shared" si="6"/>
        <v>55</v>
      </c>
      <c r="AI62" s="94">
        <f>IF(E$5*$AH62&lt;E$5*E$14,(E$19*E$6*(1+Overview!$B$53)^-(E$5*$AH62)),0)</f>
        <v>0</v>
      </c>
      <c r="AJ62" s="89">
        <f>IF(F$5*$AH62&lt;F$5*F$14,(F$19*F$6*(1+Overview!$B$53)^-(F$5*$AH62)),0)</f>
        <v>0</v>
      </c>
      <c r="AK62" s="95">
        <f>IF(G$5*$AH62&lt;G$5*G$14,(G$19*G$6*(1+Overview!$B$53)^-(G$5*$AH62)),0)</f>
        <v>0</v>
      </c>
      <c r="AL62" s="94">
        <f>IF($AH62=0,0,IF(E$5*$AH62&lt;=E$5*E$14,(E$22*E$6*(1+Overview!$B$53)^-(E$5*$AH62)),0))</f>
        <v>0</v>
      </c>
      <c r="AM62" s="89">
        <f>IF($AH62=0,0,IF(F$5*$AH62&lt;=F$5*F$14,(F$22*F$6*(1+Overview!$B$53)^-(F$5*$AH62)),0))</f>
        <v>0</v>
      </c>
      <c r="AN62" s="95">
        <f>IF($AH62=0,0,IF(G$5*$AH62&lt;=G$5*G$14,(G$22*G$6*(1+Overview!$B$53)^-(G$5*$AH62)),0))</f>
        <v>0</v>
      </c>
      <c r="AO62" s="94">
        <f>IF(E$16&gt;0,IF($AH61*E$14=E$4,-(E$16/E$5)*E$19*E$6*(1+Overview!$B$53)^-E$4+(E$22*E$6*(1+Overview!$B$53)^-E$4),0),0)</f>
        <v>0</v>
      </c>
      <c r="AP62" s="89">
        <f>IF(F$16&gt;0,IF($AH61*F$14=F$4,-(F$16/F$5)*F$19*F$6*(1+Overview!$B$53)^-F$4+(F$22*F$6*(1+Overview!$B$53)^-F$4),0),0)</f>
        <v>0</v>
      </c>
      <c r="AQ62" s="95">
        <f>IF(G$16&gt;0,IF($AH61*G$14=G$4,-(G$16/G$5)*G$19*G$6*(1+Overview!$B$53)^-G$4+(G$22*G$6*(1+Overview!$B$53)^-G$4),0),0)</f>
        <v>0</v>
      </c>
      <c r="AR62" s="84"/>
      <c r="AS62" s="109">
        <f t="shared" si="7"/>
        <v>56</v>
      </c>
      <c r="AT62" s="94">
        <f>IF($AS62&lt;E$4,E$20*E$6*E$11*(1+Overview!$B$53)^-($AS62),0)</f>
        <v>14566.003554421366</v>
      </c>
      <c r="AU62" s="89">
        <f>IF($AS62&lt;F$4,F$20*F$6*F$11*(1+Overview!$B$53)^-($AS62),0)</f>
        <v>7283.001777210683</v>
      </c>
      <c r="AV62" s="89">
        <f>IF($AS62&lt;G$4,G$20*G$6*G$11*(1+Overview!$B$53)^-($AS62),0)</f>
        <v>7283.001777210683</v>
      </c>
      <c r="AW62" s="94">
        <f>IF(E$67=0,IF($AS62&lt;E$4,E$55*(1+Overview!$B$53)^-($AS62),0),IF($AS62&lt;E$4,E$67*(1+Overview!$B$53)^-($AS62),0))</f>
        <v>45365.558309848639</v>
      </c>
      <c r="AX62" s="89">
        <f>IF(F$67=0,IF($AS62&lt;F$4,F$55*(1+Overview!$B$53)^-($AS62),0),IF($AS62&lt;F$4,F$67*(1+Overview!$B$53)^-($AS62),0))</f>
        <v>34024.168732386475</v>
      </c>
      <c r="AY62" s="89">
        <f>IF(G$67=0,IF($AS62&lt;G$4,G$55*(1+Overview!$B$53)^-($AS62),0),IF($AS62&lt;G$4,G$67*(1+Overview!$B$53)^-($AS62),0))</f>
        <v>34024.168732386475</v>
      </c>
      <c r="AZ62" s="89">
        <f>IF(E$68=0,IF($AS62&lt;E$4,E$56*(1+Overview!$B$53)^-($AS62),0),IF($AS62&lt;E$4,E$68*(1+Overview!$B$53)^-($AS62),0))</f>
        <v>0</v>
      </c>
      <c r="BA62" s="89">
        <f>IF(F$68=0,IF($AS62&lt;F$4,F$56*(1+Overview!$B$53)^-($AS62),0),IF($AS62&lt;F$4,F$68*(1+Overview!$B$53)^-($AS62),0))</f>
        <v>0</v>
      </c>
      <c r="BB62" s="89">
        <f>IF(G$68=0,IF($AS62&lt;G$4,G$56*(1+Overview!$B$53)^-($AS62),0),IF($AS62&lt;G$4,G$68*(1+Overview!$B$53)^-($AS62),0))</f>
        <v>0</v>
      </c>
      <c r="BC62" s="89">
        <f>IF(E$69=0,IF($AS62&lt;E$4,E$57*(1+Overview!$B$53)^-($AS62),0),IF($AS62&lt;E$4,E$69*(1+Overview!$B$53)^-($AS62),0))</f>
        <v>0</v>
      </c>
      <c r="BD62" s="89">
        <f>IF(F$69=0,IF($AS62&lt;F$4,F$57*(1+Overview!$B$53)^-($AS62),0),IF($AS62&lt;F$4,F$69*(1+Overview!$B$53)^-($AS62),0))</f>
        <v>0</v>
      </c>
      <c r="BE62" s="95">
        <f>IF(G$69=0,IF($AS62&lt;G$4,G$57*(1+Overview!$B$53)^-($AS62),0),IF($AS62&lt;G$4,G$69*(1+Overview!$B$53)^-($AS62),0))</f>
        <v>0</v>
      </c>
      <c r="BF62" s="1"/>
    </row>
    <row r="63" spans="1:58" x14ac:dyDescent="0.3">
      <c r="A63" s="206" t="s">
        <v>141</v>
      </c>
      <c r="B63" s="185" t="s">
        <v>135</v>
      </c>
      <c r="C63" s="185" t="s">
        <v>136</v>
      </c>
      <c r="D63" s="185" t="s">
        <v>137</v>
      </c>
      <c r="E63" s="169">
        <v>0</v>
      </c>
      <c r="F63" s="170">
        <v>0</v>
      </c>
      <c r="G63" s="171">
        <v>0</v>
      </c>
      <c r="H63" s="125" t="s">
        <v>33</v>
      </c>
      <c r="I63" s="33"/>
      <c r="J63" s="33"/>
      <c r="K63" s="77"/>
      <c r="L63" s="33"/>
      <c r="M63" s="33"/>
      <c r="N63" s="33"/>
      <c r="O63" s="33"/>
      <c r="P63" s="33"/>
      <c r="Q63" s="151"/>
      <c r="R63" s="95">
        <f t="shared" si="4"/>
        <v>56</v>
      </c>
      <c r="S63" s="94">
        <f t="shared" si="15"/>
        <v>0</v>
      </c>
      <c r="T63" s="89">
        <f t="shared" si="15"/>
        <v>0</v>
      </c>
      <c r="U63" s="95">
        <f t="shared" si="15"/>
        <v>0</v>
      </c>
      <c r="V63" s="94">
        <f t="shared" si="16"/>
        <v>0</v>
      </c>
      <c r="W63" s="89">
        <f t="shared" si="16"/>
        <v>0</v>
      </c>
      <c r="X63" s="95">
        <f t="shared" si="16"/>
        <v>0</v>
      </c>
      <c r="Y63" s="89"/>
      <c r="Z63" s="118">
        <f t="shared" si="5"/>
        <v>57</v>
      </c>
      <c r="AA63" s="94">
        <f t="shared" si="17"/>
        <v>14073.433385914366</v>
      </c>
      <c r="AB63" s="89">
        <f t="shared" si="17"/>
        <v>7036.7166929571831</v>
      </c>
      <c r="AC63" s="95">
        <f t="shared" si="17"/>
        <v>7036.7166929571831</v>
      </c>
      <c r="AD63" s="94">
        <f t="shared" si="18"/>
        <v>43831.457304201591</v>
      </c>
      <c r="AE63" s="89">
        <f t="shared" si="18"/>
        <v>32873.592978151188</v>
      </c>
      <c r="AF63" s="95">
        <f t="shared" si="18"/>
        <v>32873.592978151188</v>
      </c>
      <c r="AG63" s="84"/>
      <c r="AH63" s="118">
        <f t="shared" si="6"/>
        <v>56</v>
      </c>
      <c r="AI63" s="94">
        <f>IF(E$5*$AH63&lt;E$5*E$14,(E$19*E$6*(1+Overview!$B$53)^-(E$5*$AH63)),0)</f>
        <v>0</v>
      </c>
      <c r="AJ63" s="89">
        <f>IF(F$5*$AH63&lt;F$5*F$14,(F$19*F$6*(1+Overview!$B$53)^-(F$5*$AH63)),0)</f>
        <v>0</v>
      </c>
      <c r="AK63" s="95">
        <f>IF(G$5*$AH63&lt;G$5*G$14,(G$19*G$6*(1+Overview!$B$53)^-(G$5*$AH63)),0)</f>
        <v>0</v>
      </c>
      <c r="AL63" s="94">
        <f>IF($AH63=0,0,IF(E$5*$AH63&lt;=E$5*E$14,(E$22*E$6*(1+Overview!$B$53)^-(E$5*$AH63)),0))</f>
        <v>0</v>
      </c>
      <c r="AM63" s="89">
        <f>IF($AH63=0,0,IF(F$5*$AH63&lt;=F$5*F$14,(F$22*F$6*(1+Overview!$B$53)^-(F$5*$AH63)),0))</f>
        <v>0</v>
      </c>
      <c r="AN63" s="95">
        <f>IF($AH63=0,0,IF(G$5*$AH63&lt;=G$5*G$14,(G$22*G$6*(1+Overview!$B$53)^-(G$5*$AH63)),0))</f>
        <v>0</v>
      </c>
      <c r="AO63" s="94">
        <f>IF(E$16&gt;0,IF($AH62*E$14=E$4,-(E$16/E$5)*E$19*E$6*(1+Overview!$B$53)^-E$4+(E$22*E$6*(1+Overview!$B$53)^-E$4),0),0)</f>
        <v>0</v>
      </c>
      <c r="AP63" s="89">
        <f>IF(F$16&gt;0,IF($AH62*F$14=F$4,-(F$16/F$5)*F$19*F$6*(1+Overview!$B$53)^-F$4+(F$22*F$6*(1+Overview!$B$53)^-F$4),0),0)</f>
        <v>0</v>
      </c>
      <c r="AQ63" s="95">
        <f>IF(G$16&gt;0,IF($AH62*G$14=G$4,-(G$16/G$5)*G$19*G$6*(1+Overview!$B$53)^-G$4+(G$22*G$6*(1+Overview!$B$53)^-G$4),0),0)</f>
        <v>0</v>
      </c>
      <c r="AR63" s="84"/>
      <c r="AS63" s="109">
        <f t="shared" si="7"/>
        <v>57</v>
      </c>
      <c r="AT63" s="94">
        <f>IF($AS63&lt;E$4,E$20*E$6*E$11*(1+Overview!$B$53)^-($AS63),0)</f>
        <v>14073.433385914366</v>
      </c>
      <c r="AU63" s="89">
        <f>IF($AS63&lt;F$4,F$20*F$6*F$11*(1+Overview!$B$53)^-($AS63),0)</f>
        <v>7036.7166929571831</v>
      </c>
      <c r="AV63" s="89">
        <f>IF($AS63&lt;G$4,G$20*G$6*G$11*(1+Overview!$B$53)^-($AS63),0)</f>
        <v>7036.7166929571831</v>
      </c>
      <c r="AW63" s="94">
        <f>IF(E$67=0,IF($AS63&lt;E$4,E$55*(1+Overview!$B$53)^-($AS63),0),IF($AS63&lt;E$4,E$67*(1+Overview!$B$53)^-($AS63),0))</f>
        <v>43831.457304201591</v>
      </c>
      <c r="AX63" s="89">
        <f>IF(F$67=0,IF($AS63&lt;F$4,F$55*(1+Overview!$B$53)^-($AS63),0),IF($AS63&lt;F$4,F$67*(1+Overview!$B$53)^-($AS63),0))</f>
        <v>32873.592978151188</v>
      </c>
      <c r="AY63" s="89">
        <f>IF(G$67=0,IF($AS63&lt;G$4,G$55*(1+Overview!$B$53)^-($AS63),0),IF($AS63&lt;G$4,G$67*(1+Overview!$B$53)^-($AS63),0))</f>
        <v>32873.592978151188</v>
      </c>
      <c r="AZ63" s="89">
        <f>IF(E$68=0,IF($AS63&lt;E$4,E$56*(1+Overview!$B$53)^-($AS63),0),IF($AS63&lt;E$4,E$68*(1+Overview!$B$53)^-($AS63),0))</f>
        <v>0</v>
      </c>
      <c r="BA63" s="89">
        <f>IF(F$68=0,IF($AS63&lt;F$4,F$56*(1+Overview!$B$53)^-($AS63),0),IF($AS63&lt;F$4,F$68*(1+Overview!$B$53)^-($AS63),0))</f>
        <v>0</v>
      </c>
      <c r="BB63" s="89">
        <f>IF(G$68=0,IF($AS63&lt;G$4,G$56*(1+Overview!$B$53)^-($AS63),0),IF($AS63&lt;G$4,G$68*(1+Overview!$B$53)^-($AS63),0))</f>
        <v>0</v>
      </c>
      <c r="BC63" s="89">
        <f>IF(E$69=0,IF($AS63&lt;E$4,E$57*(1+Overview!$B$53)^-($AS63),0),IF($AS63&lt;E$4,E$69*(1+Overview!$B$53)^-($AS63),0))</f>
        <v>0</v>
      </c>
      <c r="BD63" s="89">
        <f>IF(F$69=0,IF($AS63&lt;F$4,F$57*(1+Overview!$B$53)^-($AS63),0),IF($AS63&lt;F$4,F$69*(1+Overview!$B$53)^-($AS63),0))</f>
        <v>0</v>
      </c>
      <c r="BE63" s="95">
        <f>IF(G$69=0,IF($AS63&lt;G$4,G$57*(1+Overview!$B$53)^-($AS63),0),IF($AS63&lt;G$4,G$69*(1+Overview!$B$53)^-($AS63),0))</f>
        <v>0</v>
      </c>
      <c r="BF63" s="1"/>
    </row>
    <row r="64" spans="1:58" x14ac:dyDescent="0.3">
      <c r="A64" s="185"/>
      <c r="B64" s="185"/>
      <c r="C64" s="185" t="s">
        <v>139</v>
      </c>
      <c r="D64" s="185" t="s">
        <v>137</v>
      </c>
      <c r="E64" s="169"/>
      <c r="F64" s="170"/>
      <c r="G64" s="171"/>
      <c r="H64" s="125" t="s">
        <v>33</v>
      </c>
      <c r="I64" s="33"/>
      <c r="J64" s="33"/>
      <c r="K64" s="77"/>
      <c r="L64" s="33"/>
      <c r="M64" s="33"/>
      <c r="N64" s="33"/>
      <c r="O64" s="33"/>
      <c r="P64" s="33"/>
      <c r="Q64" s="151"/>
      <c r="R64" s="118">
        <f t="shared" si="4"/>
        <v>57</v>
      </c>
      <c r="S64" s="94">
        <f t="shared" si="15"/>
        <v>0</v>
      </c>
      <c r="T64" s="89">
        <f t="shared" si="15"/>
        <v>0</v>
      </c>
      <c r="U64" s="95">
        <f t="shared" si="15"/>
        <v>0</v>
      </c>
      <c r="V64" s="94">
        <f t="shared" si="16"/>
        <v>0</v>
      </c>
      <c r="W64" s="89">
        <f t="shared" si="16"/>
        <v>0</v>
      </c>
      <c r="X64" s="95">
        <f t="shared" si="16"/>
        <v>0</v>
      </c>
      <c r="Y64" s="89"/>
      <c r="Z64" s="118">
        <f t="shared" si="5"/>
        <v>58</v>
      </c>
      <c r="AA64" s="94">
        <f t="shared" si="17"/>
        <v>13597.520179627407</v>
      </c>
      <c r="AB64" s="89">
        <f t="shared" si="17"/>
        <v>6798.7600898137034</v>
      </c>
      <c r="AC64" s="95">
        <f t="shared" si="17"/>
        <v>6798.7600898137034</v>
      </c>
      <c r="AD64" s="94">
        <f t="shared" si="18"/>
        <v>42349.234110339698</v>
      </c>
      <c r="AE64" s="89">
        <f t="shared" si="18"/>
        <v>31761.925582754771</v>
      </c>
      <c r="AF64" s="95">
        <f t="shared" si="18"/>
        <v>31761.925582754771</v>
      </c>
      <c r="AG64" s="84"/>
      <c r="AH64" s="118">
        <f t="shared" si="6"/>
        <v>57</v>
      </c>
      <c r="AI64" s="94">
        <f>IF(E$5*$AH64&lt;E$5*E$14,(E$19*E$6*(1+Overview!$B$53)^-(E$5*$AH64)),0)</f>
        <v>0</v>
      </c>
      <c r="AJ64" s="89">
        <f>IF(F$5*$AH64&lt;F$5*F$14,(F$19*F$6*(1+Overview!$B$53)^-(F$5*$AH64)),0)</f>
        <v>0</v>
      </c>
      <c r="AK64" s="95">
        <f>IF(G$5*$AH64&lt;G$5*G$14,(G$19*G$6*(1+Overview!$B$53)^-(G$5*$AH64)),0)</f>
        <v>0</v>
      </c>
      <c r="AL64" s="94">
        <f>IF($AH64=0,0,IF(E$5*$AH64&lt;=E$5*E$14,(E$22*E$6*(1+Overview!$B$53)^-(E$5*$AH64)),0))</f>
        <v>0</v>
      </c>
      <c r="AM64" s="89">
        <f>IF($AH64=0,0,IF(F$5*$AH64&lt;=F$5*F$14,(F$22*F$6*(1+Overview!$B$53)^-(F$5*$AH64)),0))</f>
        <v>0</v>
      </c>
      <c r="AN64" s="95">
        <f>IF($AH64=0,0,IF(G$5*$AH64&lt;=G$5*G$14,(G$22*G$6*(1+Overview!$B$53)^-(G$5*$AH64)),0))</f>
        <v>0</v>
      </c>
      <c r="AO64" s="94">
        <f>IF(E$16&gt;0,IF($AH63*E$14=E$4,-(E$16/E$5)*E$19*E$6*(1+Overview!$B$53)^-E$4+(E$22*E$6*(1+Overview!$B$53)^-E$4),0),0)</f>
        <v>0</v>
      </c>
      <c r="AP64" s="89">
        <f>IF(F$16&gt;0,IF($AH63*F$14=F$4,-(F$16/F$5)*F$19*F$6*(1+Overview!$B$53)^-F$4+(F$22*F$6*(1+Overview!$B$53)^-F$4),0),0)</f>
        <v>0</v>
      </c>
      <c r="AQ64" s="95">
        <f>IF(G$16&gt;0,IF($AH63*G$14=G$4,-(G$16/G$5)*G$19*G$6*(1+Overview!$B$53)^-G$4+(G$22*G$6*(1+Overview!$B$53)^-G$4),0),0)</f>
        <v>0</v>
      </c>
      <c r="AR64" s="84"/>
      <c r="AS64" s="109">
        <f t="shared" si="7"/>
        <v>58</v>
      </c>
      <c r="AT64" s="94">
        <f>IF($AS64&lt;E$4,E$20*E$6*E$11*(1+Overview!$B$53)^-($AS64),0)</f>
        <v>13597.520179627407</v>
      </c>
      <c r="AU64" s="89">
        <f>IF($AS64&lt;F$4,F$20*F$6*F$11*(1+Overview!$B$53)^-($AS64),0)</f>
        <v>6798.7600898137034</v>
      </c>
      <c r="AV64" s="89">
        <f>IF($AS64&lt;G$4,G$20*G$6*G$11*(1+Overview!$B$53)^-($AS64),0)</f>
        <v>6798.7600898137034</v>
      </c>
      <c r="AW64" s="94">
        <f>IF(E$67=0,IF($AS64&lt;E$4,E$55*(1+Overview!$B$53)^-($AS64),0),IF($AS64&lt;E$4,E$67*(1+Overview!$B$53)^-($AS64),0))</f>
        <v>42349.234110339698</v>
      </c>
      <c r="AX64" s="89">
        <f>IF(F$67=0,IF($AS64&lt;F$4,F$55*(1+Overview!$B$53)^-($AS64),0),IF($AS64&lt;F$4,F$67*(1+Overview!$B$53)^-($AS64),0))</f>
        <v>31761.925582754771</v>
      </c>
      <c r="AY64" s="89">
        <f>IF(G$67=0,IF($AS64&lt;G$4,G$55*(1+Overview!$B$53)^-($AS64),0),IF($AS64&lt;G$4,G$67*(1+Overview!$B$53)^-($AS64),0))</f>
        <v>31761.925582754771</v>
      </c>
      <c r="AZ64" s="89">
        <f>IF(E$68=0,IF($AS64&lt;E$4,E$56*(1+Overview!$B$53)^-($AS64),0),IF($AS64&lt;E$4,E$68*(1+Overview!$B$53)^-($AS64),0))</f>
        <v>0</v>
      </c>
      <c r="BA64" s="89">
        <f>IF(F$68=0,IF($AS64&lt;F$4,F$56*(1+Overview!$B$53)^-($AS64),0),IF($AS64&lt;F$4,F$68*(1+Overview!$B$53)^-($AS64),0))</f>
        <v>0</v>
      </c>
      <c r="BB64" s="89">
        <f>IF(G$68=0,IF($AS64&lt;G$4,G$56*(1+Overview!$B$53)^-($AS64),0),IF($AS64&lt;G$4,G$68*(1+Overview!$B$53)^-($AS64),0))</f>
        <v>0</v>
      </c>
      <c r="BC64" s="89">
        <f>IF(E$69=0,IF($AS64&lt;E$4,E$57*(1+Overview!$B$53)^-($AS64),0),IF($AS64&lt;E$4,E$69*(1+Overview!$B$53)^-($AS64),0))</f>
        <v>0</v>
      </c>
      <c r="BD64" s="89">
        <f>IF(F$69=0,IF($AS64&lt;F$4,F$57*(1+Overview!$B$53)^-($AS64),0),IF($AS64&lt;F$4,F$69*(1+Overview!$B$53)^-($AS64),0))</f>
        <v>0</v>
      </c>
      <c r="BE64" s="95">
        <f>IF(G$69=0,IF($AS64&lt;G$4,G$57*(1+Overview!$B$53)^-($AS64),0),IF($AS64&lt;G$4,G$69*(1+Overview!$B$53)^-($AS64),0))</f>
        <v>0</v>
      </c>
      <c r="BF64" s="1"/>
    </row>
    <row r="65" spans="1:58" x14ac:dyDescent="0.3">
      <c r="A65" s="185"/>
      <c r="B65" s="185"/>
      <c r="C65" s="185" t="s">
        <v>140</v>
      </c>
      <c r="D65" s="185" t="s">
        <v>137</v>
      </c>
      <c r="E65" s="169"/>
      <c r="F65" s="170"/>
      <c r="G65" s="171"/>
      <c r="H65" s="125" t="s">
        <v>33</v>
      </c>
      <c r="I65" s="33"/>
      <c r="J65" s="33"/>
      <c r="K65" s="77"/>
      <c r="L65" s="33"/>
      <c r="M65" s="33"/>
      <c r="N65" s="33"/>
      <c r="O65" s="33"/>
      <c r="P65" s="33"/>
      <c r="Q65" s="151"/>
      <c r="R65" s="118">
        <f t="shared" si="4"/>
        <v>58</v>
      </c>
      <c r="S65" s="94">
        <f t="shared" si="15"/>
        <v>0</v>
      </c>
      <c r="T65" s="89">
        <f t="shared" si="15"/>
        <v>0</v>
      </c>
      <c r="U65" s="95">
        <f t="shared" si="15"/>
        <v>0</v>
      </c>
      <c r="V65" s="94">
        <f t="shared" si="16"/>
        <v>0</v>
      </c>
      <c r="W65" s="89">
        <f t="shared" si="16"/>
        <v>0</v>
      </c>
      <c r="X65" s="95">
        <f t="shared" si="16"/>
        <v>0</v>
      </c>
      <c r="Y65" s="89"/>
      <c r="Z65" s="118">
        <f t="shared" si="5"/>
        <v>59</v>
      </c>
      <c r="AA65" s="94">
        <f t="shared" si="17"/>
        <v>13137.700656644834</v>
      </c>
      <c r="AB65" s="89">
        <f t="shared" si="17"/>
        <v>6568.8503283224172</v>
      </c>
      <c r="AC65" s="95">
        <f t="shared" si="17"/>
        <v>6568.8503283224172</v>
      </c>
      <c r="AD65" s="94">
        <f t="shared" si="18"/>
        <v>40917.134406125304</v>
      </c>
      <c r="AE65" s="89">
        <f t="shared" si="18"/>
        <v>30687.850804593978</v>
      </c>
      <c r="AF65" s="95">
        <f t="shared" si="18"/>
        <v>30687.850804593978</v>
      </c>
      <c r="AG65" s="84"/>
      <c r="AH65" s="118">
        <f t="shared" si="6"/>
        <v>58</v>
      </c>
      <c r="AI65" s="94">
        <f>IF(E$5*$AH65&lt;E$5*E$14,(E$19*E$6*(1+Overview!$B$53)^-(E$5*$AH65)),0)</f>
        <v>0</v>
      </c>
      <c r="AJ65" s="89">
        <f>IF(F$5*$AH65&lt;F$5*F$14,(F$19*F$6*(1+Overview!$B$53)^-(F$5*$AH65)),0)</f>
        <v>0</v>
      </c>
      <c r="AK65" s="95">
        <f>IF(G$5*$AH65&lt;G$5*G$14,(G$19*G$6*(1+Overview!$B$53)^-(G$5*$AH65)),0)</f>
        <v>0</v>
      </c>
      <c r="AL65" s="94">
        <f>IF($AH65=0,0,IF(E$5*$AH65&lt;=E$5*E$14,(E$22*E$6*(1+Overview!$B$53)^-(E$5*$AH65)),0))</f>
        <v>0</v>
      </c>
      <c r="AM65" s="89">
        <f>IF($AH65=0,0,IF(F$5*$AH65&lt;=F$5*F$14,(F$22*F$6*(1+Overview!$B$53)^-(F$5*$AH65)),0))</f>
        <v>0</v>
      </c>
      <c r="AN65" s="95">
        <f>IF($AH65=0,0,IF(G$5*$AH65&lt;=G$5*G$14,(G$22*G$6*(1+Overview!$B$53)^-(G$5*$AH65)),0))</f>
        <v>0</v>
      </c>
      <c r="AO65" s="94">
        <f>IF(E$16&gt;0,IF($AH64*E$14=E$4,-(E$16/E$5)*E$19*E$6*(1+Overview!$B$53)^-E$4+(E$22*E$6*(1+Overview!$B$53)^-E$4),0),0)</f>
        <v>0</v>
      </c>
      <c r="AP65" s="89">
        <f>IF(F$16&gt;0,IF($AH64*F$14=F$4,-(F$16/F$5)*F$19*F$6*(1+Overview!$B$53)^-F$4+(F$22*F$6*(1+Overview!$B$53)^-F$4),0),0)</f>
        <v>0</v>
      </c>
      <c r="AQ65" s="95">
        <f>IF(G$16&gt;0,IF($AH64*G$14=G$4,-(G$16/G$5)*G$19*G$6*(1+Overview!$B$53)^-G$4+(G$22*G$6*(1+Overview!$B$53)^-G$4),0),0)</f>
        <v>0</v>
      </c>
      <c r="AR65" s="84"/>
      <c r="AS65" s="109">
        <f t="shared" si="7"/>
        <v>59</v>
      </c>
      <c r="AT65" s="94">
        <f>IF($AS65&lt;E$4,E$20*E$6*E$11*(1+Overview!$B$53)^-($AS65),0)</f>
        <v>13137.700656644834</v>
      </c>
      <c r="AU65" s="89">
        <f>IF($AS65&lt;F$4,F$20*F$6*F$11*(1+Overview!$B$53)^-($AS65),0)</f>
        <v>6568.8503283224172</v>
      </c>
      <c r="AV65" s="89">
        <f>IF($AS65&lt;G$4,G$20*G$6*G$11*(1+Overview!$B$53)^-($AS65),0)</f>
        <v>6568.8503283224172</v>
      </c>
      <c r="AW65" s="94">
        <f>IF(E$67=0,IF($AS65&lt;E$4,E$55*(1+Overview!$B$53)^-($AS65),0),IF($AS65&lt;E$4,E$67*(1+Overview!$B$53)^-($AS65),0))</f>
        <v>40917.134406125304</v>
      </c>
      <c r="AX65" s="89">
        <f>IF(F$67=0,IF($AS65&lt;F$4,F$55*(1+Overview!$B$53)^-($AS65),0),IF($AS65&lt;F$4,F$67*(1+Overview!$B$53)^-($AS65),0))</f>
        <v>30687.850804593978</v>
      </c>
      <c r="AY65" s="89">
        <f>IF(G$67=0,IF($AS65&lt;G$4,G$55*(1+Overview!$B$53)^-($AS65),0),IF($AS65&lt;G$4,G$67*(1+Overview!$B$53)^-($AS65),0))</f>
        <v>30687.850804593978</v>
      </c>
      <c r="AZ65" s="89">
        <f>IF(E$68=0,IF($AS65&lt;E$4,E$56*(1+Overview!$B$53)^-($AS65),0),IF($AS65&lt;E$4,E$68*(1+Overview!$B$53)^-($AS65),0))</f>
        <v>0</v>
      </c>
      <c r="BA65" s="89">
        <f>IF(F$68=0,IF($AS65&lt;F$4,F$56*(1+Overview!$B$53)^-($AS65),0),IF($AS65&lt;F$4,F$68*(1+Overview!$B$53)^-($AS65),0))</f>
        <v>0</v>
      </c>
      <c r="BB65" s="89">
        <f>IF(G$68=0,IF($AS65&lt;G$4,G$56*(1+Overview!$B$53)^-($AS65),0),IF($AS65&lt;G$4,G$68*(1+Overview!$B$53)^-($AS65),0))</f>
        <v>0</v>
      </c>
      <c r="BC65" s="89">
        <f>IF(E$69=0,IF($AS65&lt;E$4,E$57*(1+Overview!$B$53)^-($AS65),0),IF($AS65&lt;E$4,E$69*(1+Overview!$B$53)^-($AS65),0))</f>
        <v>0</v>
      </c>
      <c r="BD65" s="89">
        <f>IF(F$69=0,IF($AS65&lt;F$4,F$57*(1+Overview!$B$53)^-($AS65),0),IF($AS65&lt;F$4,F$69*(1+Overview!$B$53)^-($AS65),0))</f>
        <v>0</v>
      </c>
      <c r="BE65" s="95">
        <f>IF(G$69=0,IF($AS65&lt;G$4,G$57*(1+Overview!$B$53)^-($AS65),0),IF($AS65&lt;G$4,G$69*(1+Overview!$B$53)^-($AS65),0))</f>
        <v>0</v>
      </c>
      <c r="BF65" s="1"/>
    </row>
    <row r="66" spans="1:58" x14ac:dyDescent="0.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77"/>
      <c r="L66" s="33"/>
      <c r="M66" s="33"/>
      <c r="N66" s="33"/>
      <c r="O66" s="33"/>
      <c r="P66" s="33"/>
      <c r="Q66" s="151"/>
      <c r="R66" s="118">
        <f t="shared" si="4"/>
        <v>59</v>
      </c>
      <c r="S66" s="94">
        <f t="shared" si="15"/>
        <v>0</v>
      </c>
      <c r="T66" s="89">
        <f t="shared" si="15"/>
        <v>0</v>
      </c>
      <c r="U66" s="95">
        <f t="shared" si="15"/>
        <v>0</v>
      </c>
      <c r="V66" s="94">
        <f t="shared" si="16"/>
        <v>0</v>
      </c>
      <c r="W66" s="89">
        <f t="shared" si="16"/>
        <v>0</v>
      </c>
      <c r="X66" s="95">
        <f t="shared" si="16"/>
        <v>0</v>
      </c>
      <c r="Y66" s="89"/>
      <c r="Z66" s="118">
        <f t="shared" si="5"/>
        <v>60</v>
      </c>
      <c r="AA66" s="94">
        <f t="shared" si="17"/>
        <v>0</v>
      </c>
      <c r="AB66" s="89">
        <f t="shared" si="17"/>
        <v>0</v>
      </c>
      <c r="AC66" s="95">
        <f t="shared" si="17"/>
        <v>0</v>
      </c>
      <c r="AD66" s="94">
        <f t="shared" si="18"/>
        <v>0</v>
      </c>
      <c r="AE66" s="89">
        <f t="shared" si="18"/>
        <v>0</v>
      </c>
      <c r="AF66" s="95">
        <f t="shared" si="18"/>
        <v>0</v>
      </c>
      <c r="AG66" s="84"/>
      <c r="AH66" s="118">
        <f t="shared" si="6"/>
        <v>59</v>
      </c>
      <c r="AI66" s="94">
        <f>IF(E$5*$AH66&lt;E$5*E$14,(E$19*E$6*(1+Overview!$B$53)^-(E$5*$AH66)),0)</f>
        <v>0</v>
      </c>
      <c r="AJ66" s="89">
        <f>IF(F$5*$AH66&lt;F$5*F$14,(F$19*F$6*(1+Overview!$B$53)^-(F$5*$AH66)),0)</f>
        <v>0</v>
      </c>
      <c r="AK66" s="95">
        <f>IF(G$5*$AH66&lt;G$5*G$14,(G$19*G$6*(1+Overview!$B$53)^-(G$5*$AH66)),0)</f>
        <v>0</v>
      </c>
      <c r="AL66" s="94">
        <f>IF($AH66=0,0,IF(E$5*$AH66&lt;=E$5*E$14,(E$22*E$6*(1+Overview!$B$53)^-(E$5*$AH66)),0))</f>
        <v>0</v>
      </c>
      <c r="AM66" s="89">
        <f>IF($AH66=0,0,IF(F$5*$AH66&lt;=F$5*F$14,(F$22*F$6*(1+Overview!$B$53)^-(F$5*$AH66)),0))</f>
        <v>0</v>
      </c>
      <c r="AN66" s="95">
        <f>IF($AH66=0,0,IF(G$5*$AH66&lt;=G$5*G$14,(G$22*G$6*(1+Overview!$B$53)^-(G$5*$AH66)),0))</f>
        <v>0</v>
      </c>
      <c r="AO66" s="94">
        <f>IF(E$16&gt;0,IF($AH65*E$14=E$4,-(E$16/E$5)*E$19*E$6*(1+Overview!$B$53)^-E$4+(E$22*E$6*(1+Overview!$B$53)^-E$4),0),0)</f>
        <v>0</v>
      </c>
      <c r="AP66" s="89">
        <f>IF(F$16&gt;0,IF($AH65*F$14=F$4,-(F$16/F$5)*F$19*F$6*(1+Overview!$B$53)^-F$4+(F$22*F$6*(1+Overview!$B$53)^-F$4),0),0)</f>
        <v>0</v>
      </c>
      <c r="AQ66" s="95">
        <f>IF(G$16&gt;0,IF($AH65*G$14=G$4,-(G$16/G$5)*G$19*G$6*(1+Overview!$B$53)^-G$4+(G$22*G$6*(1+Overview!$B$53)^-G$4),0),0)</f>
        <v>0</v>
      </c>
      <c r="AR66" s="84"/>
      <c r="AS66" s="109">
        <f t="shared" si="7"/>
        <v>60</v>
      </c>
      <c r="AT66" s="94">
        <f>IF($AS66&lt;E$4,E$20*E$6*E$11*(1+Overview!$B$53)^-($AS66),0)</f>
        <v>0</v>
      </c>
      <c r="AU66" s="89">
        <f>IF($AS66&lt;F$4,F$20*F$6*F$11*(1+Overview!$B$53)^-($AS66),0)</f>
        <v>0</v>
      </c>
      <c r="AV66" s="89">
        <f>IF($AS66&lt;G$4,G$20*G$6*G$11*(1+Overview!$B$53)^-($AS66),0)</f>
        <v>0</v>
      </c>
      <c r="AW66" s="94">
        <f>IF(E$67=0,IF($AS66&lt;E$4,E$55*(1+Overview!$B$53)^-($AS66),0),IF($AS66&lt;E$4,E$67*(1+Overview!$B$53)^-($AS66),0))</f>
        <v>0</v>
      </c>
      <c r="AX66" s="89">
        <f>IF(F$67=0,IF($AS66&lt;F$4,F$55*(1+Overview!$B$53)^-($AS66),0),IF($AS66&lt;F$4,F$67*(1+Overview!$B$53)^-($AS66),0))</f>
        <v>0</v>
      </c>
      <c r="AY66" s="89">
        <f>IF(G$67=0,IF($AS66&lt;G$4,G$55*(1+Overview!$B$53)^-($AS66),0),IF($AS66&lt;G$4,G$67*(1+Overview!$B$53)^-($AS66),0))</f>
        <v>0</v>
      </c>
      <c r="AZ66" s="89">
        <f>IF(E$68=0,IF($AS66&lt;E$4,E$56*(1+Overview!$B$53)^-($AS66),0),IF($AS66&lt;E$4,E$68*(1+Overview!$B$53)^-($AS66),0))</f>
        <v>0</v>
      </c>
      <c r="BA66" s="89">
        <f>IF(F$68=0,IF($AS66&lt;F$4,F$56*(1+Overview!$B$53)^-($AS66),0),IF($AS66&lt;F$4,F$68*(1+Overview!$B$53)^-($AS66),0))</f>
        <v>0</v>
      </c>
      <c r="BB66" s="89">
        <f>IF(G$68=0,IF($AS66&lt;G$4,G$56*(1+Overview!$B$53)^-($AS66),0),IF($AS66&lt;G$4,G$68*(1+Overview!$B$53)^-($AS66),0))</f>
        <v>0</v>
      </c>
      <c r="BC66" s="89">
        <f>IF(E$69=0,IF($AS66&lt;E$4,E$57*(1+Overview!$B$53)^-($AS66),0),IF($AS66&lt;E$4,E$69*(1+Overview!$B$53)^-($AS66),0))</f>
        <v>0</v>
      </c>
      <c r="BD66" s="89">
        <f>IF(F$69=0,IF($AS66&lt;F$4,F$57*(1+Overview!$B$53)^-($AS66),0),IF($AS66&lt;F$4,F$69*(1+Overview!$B$53)^-($AS66),0))</f>
        <v>0</v>
      </c>
      <c r="BE66" s="95">
        <f>IF(G$69=0,IF($AS66&lt;G$4,G$57*(1+Overview!$B$53)^-($AS66),0),IF($AS66&lt;G$4,G$69*(1+Overview!$B$53)^-($AS66),0))</f>
        <v>0</v>
      </c>
      <c r="BF66" s="1"/>
    </row>
    <row r="67" spans="1:58" x14ac:dyDescent="0.3">
      <c r="A67" s="33"/>
      <c r="B67" s="188" t="s">
        <v>142</v>
      </c>
      <c r="C67" s="189" t="s">
        <v>128</v>
      </c>
      <c r="D67" s="189" t="s">
        <v>129</v>
      </c>
      <c r="E67" s="201">
        <f>E63*(E$12*E$11)</f>
        <v>0</v>
      </c>
      <c r="F67" s="202">
        <f t="shared" ref="F67" si="21">F63*(F$12*F$11)</f>
        <v>0</v>
      </c>
      <c r="G67" s="203">
        <f>G63*(G$12*G$11)</f>
        <v>0</v>
      </c>
      <c r="H67" s="194" t="s">
        <v>60</v>
      </c>
      <c r="I67" s="33"/>
      <c r="J67" s="33"/>
      <c r="K67" s="77"/>
      <c r="L67" s="33"/>
      <c r="M67" s="33"/>
      <c r="N67" s="33"/>
      <c r="O67" s="33"/>
      <c r="P67" s="33"/>
      <c r="Q67" s="151"/>
      <c r="R67" s="118">
        <f t="shared" si="4"/>
        <v>60</v>
      </c>
      <c r="S67" s="94">
        <f t="shared" ref="S67:U86" si="22">SUMIF($AI$6:$AK$6,S$6,$AI67:$AK67)</f>
        <v>0</v>
      </c>
      <c r="T67" s="89">
        <f t="shared" si="22"/>
        <v>0</v>
      </c>
      <c r="U67" s="95">
        <f t="shared" si="22"/>
        <v>0</v>
      </c>
      <c r="V67" s="94">
        <f t="shared" ref="V67:X86" si="23">SUMIF($AL$6:$AQ$6,V$6,$AL67:$AQ67)</f>
        <v>0</v>
      </c>
      <c r="W67" s="89">
        <f t="shared" si="23"/>
        <v>0</v>
      </c>
      <c r="X67" s="95">
        <f t="shared" si="23"/>
        <v>0</v>
      </c>
      <c r="Y67" s="89"/>
      <c r="Z67" s="118">
        <f t="shared" si="5"/>
        <v>61</v>
      </c>
      <c r="AA67" s="94">
        <f t="shared" ref="AA67:AC86" si="24">SUMIF($AT$6:$AV$6,AA$6,$AT67:$AV67)</f>
        <v>0</v>
      </c>
      <c r="AB67" s="89">
        <f t="shared" si="24"/>
        <v>0</v>
      </c>
      <c r="AC67" s="95">
        <f t="shared" si="24"/>
        <v>0</v>
      </c>
      <c r="AD67" s="94">
        <f t="shared" ref="AD67:AF86" si="25">SUMIF($AW$6:$BE$6,AD$6,$AW67:$BE67)</f>
        <v>0</v>
      </c>
      <c r="AE67" s="89">
        <f t="shared" si="25"/>
        <v>0</v>
      </c>
      <c r="AF67" s="95">
        <f t="shared" si="25"/>
        <v>0</v>
      </c>
      <c r="AG67" s="84"/>
      <c r="AH67" s="118">
        <f t="shared" si="6"/>
        <v>60</v>
      </c>
      <c r="AI67" s="94">
        <f>IF(E$5*$AH67&lt;E$5*E$14,(E$19*E$6*(1+Overview!$B$53)^-(E$5*$AH67)),0)</f>
        <v>0</v>
      </c>
      <c r="AJ67" s="89">
        <f>IF(F$5*$AH67&lt;F$5*F$14,(F$19*F$6*(1+Overview!$B$53)^-(F$5*$AH67)),0)</f>
        <v>0</v>
      </c>
      <c r="AK67" s="95">
        <f>IF(G$5*$AH67&lt;G$5*G$14,(G$19*G$6*(1+Overview!$B$53)^-(G$5*$AH67)),0)</f>
        <v>0</v>
      </c>
      <c r="AL67" s="94">
        <f>IF($AH67=0,0,IF(E$5*$AH67&lt;=E$5*E$14,(E$22*E$6*(1+Overview!$B$53)^-(E$5*$AH67)),0))</f>
        <v>0</v>
      </c>
      <c r="AM67" s="89">
        <f>IF($AH67=0,0,IF(F$5*$AH67&lt;=F$5*F$14,(F$22*F$6*(1+Overview!$B$53)^-(F$5*$AH67)),0))</f>
        <v>0</v>
      </c>
      <c r="AN67" s="95">
        <f>IF($AH67=0,0,IF(G$5*$AH67&lt;=G$5*G$14,(G$22*G$6*(1+Overview!$B$53)^-(G$5*$AH67)),0))</f>
        <v>0</v>
      </c>
      <c r="AO67" s="94">
        <f>IF(E$16&gt;0,IF($AH66*E$14=E$4,-(E$16/E$5)*E$19*E$6*(1+Overview!$B$53)^-E$4+(E$22*E$6*(1+Overview!$B$53)^-E$4),0),0)</f>
        <v>0</v>
      </c>
      <c r="AP67" s="89">
        <f>IF(F$16&gt;0,IF($AH66*F$14=F$4,-(F$16/F$5)*F$19*F$6*(1+Overview!$B$53)^-F$4+(F$22*F$6*(1+Overview!$B$53)^-F$4),0),0)</f>
        <v>0</v>
      </c>
      <c r="AQ67" s="95">
        <f>IF(G$16&gt;0,IF($AH66*G$14=G$4,-(G$16/G$5)*G$19*G$6*(1+Overview!$B$53)^-G$4+(G$22*G$6*(1+Overview!$B$53)^-G$4),0),0)</f>
        <v>0</v>
      </c>
      <c r="AR67" s="84"/>
      <c r="AS67" s="109">
        <f t="shared" si="7"/>
        <v>61</v>
      </c>
      <c r="AT67" s="94">
        <f>IF($AS67&lt;E$4,E$20*E$6*E$11*(1+Overview!$B$53)^-($AS67),0)</f>
        <v>0</v>
      </c>
      <c r="AU67" s="89">
        <f>IF($AS67&lt;F$4,F$20*F$6*F$11*(1+Overview!$B$53)^-($AS67),0)</f>
        <v>0</v>
      </c>
      <c r="AV67" s="89">
        <f>IF($AS67&lt;G$4,G$20*G$6*G$11*(1+Overview!$B$53)^-($AS67),0)</f>
        <v>0</v>
      </c>
      <c r="AW67" s="94">
        <f>IF(E$67=0,IF($AS67&lt;E$4,E$55*(1+Overview!$B$53)^-($AS67),0),IF($AS67&lt;E$4,E$67*(1+Overview!$B$53)^-($AS67),0))</f>
        <v>0</v>
      </c>
      <c r="AX67" s="89">
        <f>IF(F$67=0,IF($AS67&lt;F$4,F$55*(1+Overview!$B$53)^-($AS67),0),IF($AS67&lt;F$4,F$67*(1+Overview!$B$53)^-($AS67),0))</f>
        <v>0</v>
      </c>
      <c r="AY67" s="89">
        <f>IF(G$67=0,IF($AS67&lt;G$4,G$55*(1+Overview!$B$53)^-($AS67),0),IF($AS67&lt;G$4,G$67*(1+Overview!$B$53)^-($AS67),0))</f>
        <v>0</v>
      </c>
      <c r="AZ67" s="89">
        <f>IF(E$68=0,IF($AS67&lt;E$4,E$56*(1+Overview!$B$53)^-($AS67),0),IF($AS67&lt;E$4,E$68*(1+Overview!$B$53)^-($AS67),0))</f>
        <v>0</v>
      </c>
      <c r="BA67" s="89">
        <f>IF(F$68=0,IF($AS67&lt;F$4,F$56*(1+Overview!$B$53)^-($AS67),0),IF($AS67&lt;F$4,F$68*(1+Overview!$B$53)^-($AS67),0))</f>
        <v>0</v>
      </c>
      <c r="BB67" s="89">
        <f>IF(G$68=0,IF($AS67&lt;G$4,G$56*(1+Overview!$B$53)^-($AS67),0),IF($AS67&lt;G$4,G$68*(1+Overview!$B$53)^-($AS67),0))</f>
        <v>0</v>
      </c>
      <c r="BC67" s="89">
        <f>IF(E$69=0,IF($AS67&lt;E$4,E$57*(1+Overview!$B$53)^-($AS67),0),IF($AS67&lt;E$4,E$69*(1+Overview!$B$53)^-($AS67),0))</f>
        <v>0</v>
      </c>
      <c r="BD67" s="89">
        <f>IF(F$69=0,IF($AS67&lt;F$4,F$57*(1+Overview!$B$53)^-($AS67),0),IF($AS67&lt;F$4,F$69*(1+Overview!$B$53)^-($AS67),0))</f>
        <v>0</v>
      </c>
      <c r="BE67" s="95">
        <f>IF(G$69=0,IF($AS67&lt;G$4,G$57*(1+Overview!$B$53)^-($AS67),0),IF($AS67&lt;G$4,G$69*(1+Overview!$B$53)^-($AS67),0))</f>
        <v>0</v>
      </c>
      <c r="BF67" s="1"/>
    </row>
    <row r="68" spans="1:58" x14ac:dyDescent="0.3">
      <c r="A68" s="33"/>
      <c r="B68" s="189"/>
      <c r="C68" s="189" t="s">
        <v>131</v>
      </c>
      <c r="D68" s="189" t="s">
        <v>129</v>
      </c>
      <c r="E68" s="201">
        <f>E64*(E$12*E$11)</f>
        <v>0</v>
      </c>
      <c r="F68" s="202">
        <f t="shared" ref="F68:G68" si="26">F64*(F$12*F$11)</f>
        <v>0</v>
      </c>
      <c r="G68" s="203">
        <f t="shared" si="26"/>
        <v>0</v>
      </c>
      <c r="H68" s="194" t="s">
        <v>60</v>
      </c>
      <c r="I68" s="33"/>
      <c r="J68" s="33"/>
      <c r="K68" s="77"/>
      <c r="L68" s="33"/>
      <c r="M68" s="33"/>
      <c r="N68" s="33"/>
      <c r="O68" s="33"/>
      <c r="P68" s="33"/>
      <c r="Q68" s="151"/>
      <c r="R68" s="118">
        <f t="shared" si="4"/>
        <v>61</v>
      </c>
      <c r="S68" s="94">
        <f t="shared" si="22"/>
        <v>0</v>
      </c>
      <c r="T68" s="89">
        <f t="shared" si="22"/>
        <v>0</v>
      </c>
      <c r="U68" s="95">
        <f t="shared" si="22"/>
        <v>0</v>
      </c>
      <c r="V68" s="94">
        <f t="shared" si="23"/>
        <v>0</v>
      </c>
      <c r="W68" s="89">
        <f t="shared" si="23"/>
        <v>0</v>
      </c>
      <c r="X68" s="95">
        <f t="shared" si="23"/>
        <v>0</v>
      </c>
      <c r="Y68" s="89"/>
      <c r="Z68" s="118">
        <f t="shared" si="5"/>
        <v>62</v>
      </c>
      <c r="AA68" s="94">
        <f t="shared" si="24"/>
        <v>0</v>
      </c>
      <c r="AB68" s="89">
        <f t="shared" si="24"/>
        <v>0</v>
      </c>
      <c r="AC68" s="95">
        <f t="shared" si="24"/>
        <v>0</v>
      </c>
      <c r="AD68" s="94">
        <f t="shared" si="25"/>
        <v>0</v>
      </c>
      <c r="AE68" s="89">
        <f t="shared" si="25"/>
        <v>0</v>
      </c>
      <c r="AF68" s="95">
        <f t="shared" si="25"/>
        <v>0</v>
      </c>
      <c r="AG68" s="84"/>
      <c r="AH68" s="118">
        <f t="shared" si="6"/>
        <v>61</v>
      </c>
      <c r="AI68" s="94">
        <f>IF(E$5*$AH68&lt;E$5*E$14,(E$19*E$6*(1+Overview!$B$53)^-(E$5*$AH68)),0)</f>
        <v>0</v>
      </c>
      <c r="AJ68" s="89">
        <f>IF(F$5*$AH68&lt;F$5*F$14,(F$19*F$6*(1+Overview!$B$53)^-(F$5*$AH68)),0)</f>
        <v>0</v>
      </c>
      <c r="AK68" s="95">
        <f>IF(G$5*$AH68&lt;G$5*G$14,(G$19*G$6*(1+Overview!$B$53)^-(G$5*$AH68)),0)</f>
        <v>0</v>
      </c>
      <c r="AL68" s="94">
        <f>IF($AH68=0,0,IF(E$5*$AH68&lt;=E$5*E$14,(E$22*E$6*(1+Overview!$B$53)^-(E$5*$AH68)),0))</f>
        <v>0</v>
      </c>
      <c r="AM68" s="89">
        <f>IF($AH68=0,0,IF(F$5*$AH68&lt;=F$5*F$14,(F$22*F$6*(1+Overview!$B$53)^-(F$5*$AH68)),0))</f>
        <v>0</v>
      </c>
      <c r="AN68" s="95">
        <f>IF($AH68=0,0,IF(G$5*$AH68&lt;=G$5*G$14,(G$22*G$6*(1+Overview!$B$53)^-(G$5*$AH68)),0))</f>
        <v>0</v>
      </c>
      <c r="AO68" s="94">
        <f>IF(E$16&gt;0,IF($AH67*E$14=E$4,-(E$16/E$5)*E$19*E$6*(1+Overview!$B$53)^-E$4+(E$22*E$6*(1+Overview!$B$53)^-E$4),0),0)</f>
        <v>0</v>
      </c>
      <c r="AP68" s="89">
        <f>IF(F$16&gt;0,IF($AH67*F$14=F$4,-(F$16/F$5)*F$19*F$6*(1+Overview!$B$53)^-F$4+(F$22*F$6*(1+Overview!$B$53)^-F$4),0),0)</f>
        <v>0</v>
      </c>
      <c r="AQ68" s="95">
        <f>IF(G$16&gt;0,IF($AH67*G$14=G$4,-(G$16/G$5)*G$19*G$6*(1+Overview!$B$53)^-G$4+(G$22*G$6*(1+Overview!$B$53)^-G$4),0),0)</f>
        <v>0</v>
      </c>
      <c r="AR68" s="84"/>
      <c r="AS68" s="109">
        <f t="shared" si="7"/>
        <v>62</v>
      </c>
      <c r="AT68" s="94">
        <f>IF($AS68&lt;E$4,E$20*E$6*E$11*(1+Overview!$B$53)^-($AS68),0)</f>
        <v>0</v>
      </c>
      <c r="AU68" s="89">
        <f>IF($AS68&lt;F$4,F$20*F$6*F$11*(1+Overview!$B$53)^-($AS68),0)</f>
        <v>0</v>
      </c>
      <c r="AV68" s="89">
        <f>IF($AS68&lt;G$4,G$20*G$6*G$11*(1+Overview!$B$53)^-($AS68),0)</f>
        <v>0</v>
      </c>
      <c r="AW68" s="94">
        <f>IF(E$67=0,IF($AS68&lt;E$4,E$55*(1+Overview!$B$53)^-($AS68),0),IF($AS68&lt;E$4,E$67*(1+Overview!$B$53)^-($AS68),0))</f>
        <v>0</v>
      </c>
      <c r="AX68" s="89">
        <f>IF(F$67=0,IF($AS68&lt;F$4,F$55*(1+Overview!$B$53)^-($AS68),0),IF($AS68&lt;F$4,F$67*(1+Overview!$B$53)^-($AS68),0))</f>
        <v>0</v>
      </c>
      <c r="AY68" s="89">
        <f>IF(G$67=0,IF($AS68&lt;G$4,G$55*(1+Overview!$B$53)^-($AS68),0),IF($AS68&lt;G$4,G$67*(1+Overview!$B$53)^-($AS68),0))</f>
        <v>0</v>
      </c>
      <c r="AZ68" s="89">
        <f>IF(E$68=0,IF($AS68&lt;E$4,E$56*(1+Overview!$B$53)^-($AS68),0),IF($AS68&lt;E$4,E$68*(1+Overview!$B$53)^-($AS68),0))</f>
        <v>0</v>
      </c>
      <c r="BA68" s="89">
        <f>IF(F$68=0,IF($AS68&lt;F$4,F$56*(1+Overview!$B$53)^-($AS68),0),IF($AS68&lt;F$4,F$68*(1+Overview!$B$53)^-($AS68),0))</f>
        <v>0</v>
      </c>
      <c r="BB68" s="89">
        <f>IF(G$68=0,IF($AS68&lt;G$4,G$56*(1+Overview!$B$53)^-($AS68),0),IF($AS68&lt;G$4,G$68*(1+Overview!$B$53)^-($AS68),0))</f>
        <v>0</v>
      </c>
      <c r="BC68" s="89">
        <f>IF(E$69=0,IF($AS68&lt;E$4,E$57*(1+Overview!$B$53)^-($AS68),0),IF($AS68&lt;E$4,E$69*(1+Overview!$B$53)^-($AS68),0))</f>
        <v>0</v>
      </c>
      <c r="BD68" s="89">
        <f>IF(F$69=0,IF($AS68&lt;F$4,F$57*(1+Overview!$B$53)^-($AS68),0),IF($AS68&lt;F$4,F$69*(1+Overview!$B$53)^-($AS68),0))</f>
        <v>0</v>
      </c>
      <c r="BE68" s="95">
        <f>IF(G$69=0,IF($AS68&lt;G$4,G$57*(1+Overview!$B$53)^-($AS68),0),IF($AS68&lt;G$4,G$69*(1+Overview!$B$53)^-($AS68),0))</f>
        <v>0</v>
      </c>
      <c r="BF68" s="1"/>
    </row>
    <row r="69" spans="1:58" x14ac:dyDescent="0.3">
      <c r="A69" s="33"/>
      <c r="B69" s="189"/>
      <c r="C69" s="189" t="s">
        <v>133</v>
      </c>
      <c r="D69" s="189" t="s">
        <v>129</v>
      </c>
      <c r="E69" s="201">
        <f>E65*(E$12*E$11)</f>
        <v>0</v>
      </c>
      <c r="F69" s="202">
        <f t="shared" ref="F69:G69" si="27">F65*(F$12*F$11)</f>
        <v>0</v>
      </c>
      <c r="G69" s="203">
        <f t="shared" si="27"/>
        <v>0</v>
      </c>
      <c r="H69" s="194" t="s">
        <v>60</v>
      </c>
      <c r="I69" s="33"/>
      <c r="J69" s="33"/>
      <c r="K69" s="77"/>
      <c r="L69" s="33"/>
      <c r="M69" s="33"/>
      <c r="N69" s="33"/>
      <c r="O69" s="33"/>
      <c r="P69" s="33"/>
      <c r="Q69" s="151"/>
      <c r="R69" s="118">
        <f t="shared" si="4"/>
        <v>62</v>
      </c>
      <c r="S69" s="94">
        <f t="shared" si="22"/>
        <v>0</v>
      </c>
      <c r="T69" s="89">
        <f t="shared" si="22"/>
        <v>0</v>
      </c>
      <c r="U69" s="95">
        <f t="shared" si="22"/>
        <v>0</v>
      </c>
      <c r="V69" s="94">
        <f t="shared" si="23"/>
        <v>0</v>
      </c>
      <c r="W69" s="89">
        <f t="shared" si="23"/>
        <v>0</v>
      </c>
      <c r="X69" s="95">
        <f t="shared" si="23"/>
        <v>0</v>
      </c>
      <c r="Y69" s="89"/>
      <c r="Z69" s="118">
        <f t="shared" si="5"/>
        <v>63</v>
      </c>
      <c r="AA69" s="94">
        <f t="shared" si="24"/>
        <v>0</v>
      </c>
      <c r="AB69" s="89">
        <f t="shared" si="24"/>
        <v>0</v>
      </c>
      <c r="AC69" s="95">
        <f t="shared" si="24"/>
        <v>0</v>
      </c>
      <c r="AD69" s="94">
        <f t="shared" si="25"/>
        <v>0</v>
      </c>
      <c r="AE69" s="89">
        <f t="shared" si="25"/>
        <v>0</v>
      </c>
      <c r="AF69" s="95">
        <f t="shared" si="25"/>
        <v>0</v>
      </c>
      <c r="AG69" s="84"/>
      <c r="AH69" s="118">
        <f t="shared" si="6"/>
        <v>62</v>
      </c>
      <c r="AI69" s="94">
        <f>IF(E$5*$AH69&lt;E$5*E$14,(E$19*E$6*(1+Overview!$B$53)^-(E$5*$AH69)),0)</f>
        <v>0</v>
      </c>
      <c r="AJ69" s="89">
        <f>IF(F$5*$AH69&lt;F$5*F$14,(F$19*F$6*(1+Overview!$B$53)^-(F$5*$AH69)),0)</f>
        <v>0</v>
      </c>
      <c r="AK69" s="95">
        <f>IF(G$5*$AH69&lt;G$5*G$14,(G$19*G$6*(1+Overview!$B$53)^-(G$5*$AH69)),0)</f>
        <v>0</v>
      </c>
      <c r="AL69" s="94">
        <f>IF($AH69=0,0,IF(E$5*$AH69&lt;=E$5*E$14,(E$22*E$6*(1+Overview!$B$53)^-(E$5*$AH69)),0))</f>
        <v>0</v>
      </c>
      <c r="AM69" s="89">
        <f>IF($AH69=0,0,IF(F$5*$AH69&lt;=F$5*F$14,(F$22*F$6*(1+Overview!$B$53)^-(F$5*$AH69)),0))</f>
        <v>0</v>
      </c>
      <c r="AN69" s="95">
        <f>IF($AH69=0,0,IF(G$5*$AH69&lt;=G$5*G$14,(G$22*G$6*(1+Overview!$B$53)^-(G$5*$AH69)),0))</f>
        <v>0</v>
      </c>
      <c r="AO69" s="94">
        <f>IF(E$16&gt;0,IF($AH68*E$14=E$4,-(E$16/E$5)*E$19*E$6*(1+Overview!$B$53)^-E$4+(E$22*E$6*(1+Overview!$B$53)^-E$4),0),0)</f>
        <v>0</v>
      </c>
      <c r="AP69" s="89">
        <f>IF(F$16&gt;0,IF($AH68*F$14=F$4,-(F$16/F$5)*F$19*F$6*(1+Overview!$B$53)^-F$4+(F$22*F$6*(1+Overview!$B$53)^-F$4),0),0)</f>
        <v>0</v>
      </c>
      <c r="AQ69" s="95">
        <f>IF(G$16&gt;0,IF($AH68*G$14=G$4,-(G$16/G$5)*G$19*G$6*(1+Overview!$B$53)^-G$4+(G$22*G$6*(1+Overview!$B$53)^-G$4),0),0)</f>
        <v>0</v>
      </c>
      <c r="AR69" s="84"/>
      <c r="AS69" s="109">
        <f t="shared" si="7"/>
        <v>63</v>
      </c>
      <c r="AT69" s="94">
        <f>IF($AS69&lt;E$4,E$20*E$6*E$11*(1+Overview!$B$53)^-($AS69),0)</f>
        <v>0</v>
      </c>
      <c r="AU69" s="89">
        <f>IF($AS69&lt;F$4,F$20*F$6*F$11*(1+Overview!$B$53)^-($AS69),0)</f>
        <v>0</v>
      </c>
      <c r="AV69" s="89">
        <f>IF($AS69&lt;G$4,G$20*G$6*G$11*(1+Overview!$B$53)^-($AS69),0)</f>
        <v>0</v>
      </c>
      <c r="AW69" s="94">
        <f>IF(E$67=0,IF($AS69&lt;E$4,E$55*(1+Overview!$B$53)^-($AS69),0),IF($AS69&lt;E$4,E$67*(1+Overview!$B$53)^-($AS69),0))</f>
        <v>0</v>
      </c>
      <c r="AX69" s="89">
        <f>IF(F$67=0,IF($AS69&lt;F$4,F$55*(1+Overview!$B$53)^-($AS69),0),IF($AS69&lt;F$4,F$67*(1+Overview!$B$53)^-($AS69),0))</f>
        <v>0</v>
      </c>
      <c r="AY69" s="89">
        <f>IF(G$67=0,IF($AS69&lt;G$4,G$55*(1+Overview!$B$53)^-($AS69),0),IF($AS69&lt;G$4,G$67*(1+Overview!$B$53)^-($AS69),0))</f>
        <v>0</v>
      </c>
      <c r="AZ69" s="89">
        <f>IF(E$68=0,IF($AS69&lt;E$4,E$56*(1+Overview!$B$53)^-($AS69),0),IF($AS69&lt;E$4,E$68*(1+Overview!$B$53)^-($AS69),0))</f>
        <v>0</v>
      </c>
      <c r="BA69" s="89">
        <f>IF(F$68=0,IF($AS69&lt;F$4,F$56*(1+Overview!$B$53)^-($AS69),0),IF($AS69&lt;F$4,F$68*(1+Overview!$B$53)^-($AS69),0))</f>
        <v>0</v>
      </c>
      <c r="BB69" s="89">
        <f>IF(G$68=0,IF($AS69&lt;G$4,G$56*(1+Overview!$B$53)^-($AS69),0),IF($AS69&lt;G$4,G$68*(1+Overview!$B$53)^-($AS69),0))</f>
        <v>0</v>
      </c>
      <c r="BC69" s="89">
        <f>IF(E$69=0,IF($AS69&lt;E$4,E$57*(1+Overview!$B$53)^-($AS69),0),IF($AS69&lt;E$4,E$69*(1+Overview!$B$53)^-($AS69),0))</f>
        <v>0</v>
      </c>
      <c r="BD69" s="89">
        <f>IF(F$69=0,IF($AS69&lt;F$4,F$57*(1+Overview!$B$53)^-($AS69),0),IF($AS69&lt;F$4,F$69*(1+Overview!$B$53)^-($AS69),0))</f>
        <v>0</v>
      </c>
      <c r="BE69" s="95">
        <f>IF(G$69=0,IF($AS69&lt;G$4,G$57*(1+Overview!$B$53)^-($AS69),0),IF($AS69&lt;G$4,G$69*(1+Overview!$B$53)^-($AS69),0))</f>
        <v>0</v>
      </c>
      <c r="BF69" s="1"/>
    </row>
    <row r="70" spans="1:58" x14ac:dyDescent="0.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77"/>
      <c r="L70" s="33"/>
      <c r="M70" s="33"/>
      <c r="N70" s="33"/>
      <c r="O70" s="33"/>
      <c r="P70" s="33"/>
      <c r="Q70" s="151"/>
      <c r="R70" s="118">
        <f t="shared" si="4"/>
        <v>63</v>
      </c>
      <c r="S70" s="94">
        <f t="shared" si="22"/>
        <v>0</v>
      </c>
      <c r="T70" s="89">
        <f t="shared" si="22"/>
        <v>0</v>
      </c>
      <c r="U70" s="95">
        <f t="shared" si="22"/>
        <v>0</v>
      </c>
      <c r="V70" s="94">
        <f t="shared" si="23"/>
        <v>0</v>
      </c>
      <c r="W70" s="89">
        <f t="shared" si="23"/>
        <v>0</v>
      </c>
      <c r="X70" s="95">
        <f t="shared" si="23"/>
        <v>0</v>
      </c>
      <c r="Y70" s="89"/>
      <c r="Z70" s="118">
        <f t="shared" si="5"/>
        <v>64</v>
      </c>
      <c r="AA70" s="94">
        <f t="shared" si="24"/>
        <v>0</v>
      </c>
      <c r="AB70" s="89">
        <f t="shared" si="24"/>
        <v>0</v>
      </c>
      <c r="AC70" s="95">
        <f t="shared" si="24"/>
        <v>0</v>
      </c>
      <c r="AD70" s="94">
        <f t="shared" si="25"/>
        <v>0</v>
      </c>
      <c r="AE70" s="89">
        <f t="shared" si="25"/>
        <v>0</v>
      </c>
      <c r="AF70" s="95">
        <f t="shared" si="25"/>
        <v>0</v>
      </c>
      <c r="AG70" s="84"/>
      <c r="AH70" s="118">
        <f t="shared" si="6"/>
        <v>63</v>
      </c>
      <c r="AI70" s="94">
        <f>IF(E$5*$AH70&lt;E$5*E$14,(E$19*E$6*(1+Overview!$B$53)^-(E$5*$AH70)),0)</f>
        <v>0</v>
      </c>
      <c r="AJ70" s="89">
        <f>IF(F$5*$AH70&lt;F$5*F$14,(F$19*F$6*(1+Overview!$B$53)^-(F$5*$AH70)),0)</f>
        <v>0</v>
      </c>
      <c r="AK70" s="95">
        <f>IF(G$5*$AH70&lt;G$5*G$14,(G$19*G$6*(1+Overview!$B$53)^-(G$5*$AH70)),0)</f>
        <v>0</v>
      </c>
      <c r="AL70" s="94">
        <f>IF($AH70=0,0,IF(E$5*$AH70&lt;=E$5*E$14,(E$22*E$6*(1+Overview!$B$53)^-(E$5*$AH70)),0))</f>
        <v>0</v>
      </c>
      <c r="AM70" s="89">
        <f>IF($AH70=0,0,IF(F$5*$AH70&lt;=F$5*F$14,(F$22*F$6*(1+Overview!$B$53)^-(F$5*$AH70)),0))</f>
        <v>0</v>
      </c>
      <c r="AN70" s="95">
        <f>IF($AH70=0,0,IF(G$5*$AH70&lt;=G$5*G$14,(G$22*G$6*(1+Overview!$B$53)^-(G$5*$AH70)),0))</f>
        <v>0</v>
      </c>
      <c r="AO70" s="94">
        <f>IF(E$16&gt;0,IF($AH69*E$14=E$4,-(E$16/E$5)*E$19*E$6*(1+Overview!$B$53)^-E$4+(E$22*E$6*(1+Overview!$B$53)^-E$4),0),0)</f>
        <v>0</v>
      </c>
      <c r="AP70" s="89">
        <f>IF(F$16&gt;0,IF($AH69*F$14=F$4,-(F$16/F$5)*F$19*F$6*(1+Overview!$B$53)^-F$4+(F$22*F$6*(1+Overview!$B$53)^-F$4),0),0)</f>
        <v>0</v>
      </c>
      <c r="AQ70" s="95">
        <f>IF(G$16&gt;0,IF($AH69*G$14=G$4,-(G$16/G$5)*G$19*G$6*(1+Overview!$B$53)^-G$4+(G$22*G$6*(1+Overview!$B$53)^-G$4),0),0)</f>
        <v>0</v>
      </c>
      <c r="AR70" s="84"/>
      <c r="AS70" s="109">
        <f t="shared" si="7"/>
        <v>64</v>
      </c>
      <c r="AT70" s="94">
        <f>IF($AS70&lt;E$4,E$20*E$6*E$11*(1+Overview!$B$53)^-($AS70),0)</f>
        <v>0</v>
      </c>
      <c r="AU70" s="89">
        <f>IF($AS70&lt;F$4,F$20*F$6*F$11*(1+Overview!$B$53)^-($AS70),0)</f>
        <v>0</v>
      </c>
      <c r="AV70" s="89">
        <f>IF($AS70&lt;G$4,G$20*G$6*G$11*(1+Overview!$B$53)^-($AS70),0)</f>
        <v>0</v>
      </c>
      <c r="AW70" s="94">
        <f>IF(E$67=0,IF($AS70&lt;E$4,E$55*(1+Overview!$B$53)^-($AS70),0),IF($AS70&lt;E$4,E$67*(1+Overview!$B$53)^-($AS70),0))</f>
        <v>0</v>
      </c>
      <c r="AX70" s="89">
        <f>IF(F$67=0,IF($AS70&lt;F$4,F$55*(1+Overview!$B$53)^-($AS70),0),IF($AS70&lt;F$4,F$67*(1+Overview!$B$53)^-($AS70),0))</f>
        <v>0</v>
      </c>
      <c r="AY70" s="89">
        <f>IF(G$67=0,IF($AS70&lt;G$4,G$55*(1+Overview!$B$53)^-($AS70),0),IF($AS70&lt;G$4,G$67*(1+Overview!$B$53)^-($AS70),0))</f>
        <v>0</v>
      </c>
      <c r="AZ70" s="89">
        <f>IF(E$68=0,IF($AS70&lt;E$4,E$56*(1+Overview!$B$53)^-($AS70),0),IF($AS70&lt;E$4,E$68*(1+Overview!$B$53)^-($AS70),0))</f>
        <v>0</v>
      </c>
      <c r="BA70" s="89">
        <f>IF(F$68=0,IF($AS70&lt;F$4,F$56*(1+Overview!$B$53)^-($AS70),0),IF($AS70&lt;F$4,F$68*(1+Overview!$B$53)^-($AS70),0))</f>
        <v>0</v>
      </c>
      <c r="BB70" s="89">
        <f>IF(G$68=0,IF($AS70&lt;G$4,G$56*(1+Overview!$B$53)^-($AS70),0),IF($AS70&lt;G$4,G$68*(1+Overview!$B$53)^-($AS70),0))</f>
        <v>0</v>
      </c>
      <c r="BC70" s="89">
        <f>IF(E$69=0,IF($AS70&lt;E$4,E$57*(1+Overview!$B$53)^-($AS70),0),IF($AS70&lt;E$4,E$69*(1+Overview!$B$53)^-($AS70),0))</f>
        <v>0</v>
      </c>
      <c r="BD70" s="89">
        <f>IF(F$69=0,IF($AS70&lt;F$4,F$57*(1+Overview!$B$53)^-($AS70),0),IF($AS70&lt;F$4,F$69*(1+Overview!$B$53)^-($AS70),0))</f>
        <v>0</v>
      </c>
      <c r="BE70" s="95">
        <f>IF(G$69=0,IF($AS70&lt;G$4,G$57*(1+Overview!$B$53)^-($AS70),0),IF($AS70&lt;G$4,G$69*(1+Overview!$B$53)^-($AS70),0))</f>
        <v>0</v>
      </c>
      <c r="BF70" s="1"/>
    </row>
    <row r="71" spans="1:58" x14ac:dyDescent="0.3">
      <c r="A71" s="33"/>
      <c r="B71" s="33"/>
      <c r="C71" s="33"/>
      <c r="D71" s="33"/>
      <c r="E71" s="33"/>
      <c r="F71" s="33"/>
      <c r="G71" s="33"/>
      <c r="H71" s="33"/>
      <c r="I71" s="33"/>
      <c r="J71" s="123"/>
      <c r="K71" s="140"/>
      <c r="L71" s="33"/>
      <c r="M71" s="33"/>
      <c r="N71" s="33"/>
      <c r="O71" s="33"/>
      <c r="P71" s="142"/>
      <c r="Q71" s="151"/>
      <c r="R71" s="118">
        <f t="shared" si="4"/>
        <v>64</v>
      </c>
      <c r="S71" s="94">
        <f t="shared" si="22"/>
        <v>0</v>
      </c>
      <c r="T71" s="89">
        <f t="shared" si="22"/>
        <v>0</v>
      </c>
      <c r="U71" s="95">
        <f t="shared" si="22"/>
        <v>0</v>
      </c>
      <c r="V71" s="94">
        <f t="shared" si="23"/>
        <v>0</v>
      </c>
      <c r="W71" s="89">
        <f t="shared" si="23"/>
        <v>0</v>
      </c>
      <c r="X71" s="95">
        <f t="shared" si="23"/>
        <v>0</v>
      </c>
      <c r="Y71" s="89"/>
      <c r="Z71" s="118">
        <f t="shared" si="5"/>
        <v>65</v>
      </c>
      <c r="AA71" s="94">
        <f t="shared" si="24"/>
        <v>0</v>
      </c>
      <c r="AB71" s="89">
        <f t="shared" si="24"/>
        <v>0</v>
      </c>
      <c r="AC71" s="95">
        <f t="shared" si="24"/>
        <v>0</v>
      </c>
      <c r="AD71" s="94">
        <f t="shared" si="25"/>
        <v>0</v>
      </c>
      <c r="AE71" s="89">
        <f t="shared" si="25"/>
        <v>0</v>
      </c>
      <c r="AF71" s="95">
        <f t="shared" si="25"/>
        <v>0</v>
      </c>
      <c r="AG71" s="84"/>
      <c r="AH71" s="118">
        <f t="shared" si="6"/>
        <v>64</v>
      </c>
      <c r="AI71" s="94">
        <f>IF(E$5*$AH71&lt;E$5*E$14,(E$19*E$6*(1+Overview!$B$53)^-(E$5*$AH71)),0)</f>
        <v>0</v>
      </c>
      <c r="AJ71" s="89">
        <f>IF(F$5*$AH71&lt;F$5*F$14,(F$19*F$6*(1+Overview!$B$53)^-(F$5*$AH71)),0)</f>
        <v>0</v>
      </c>
      <c r="AK71" s="95">
        <f>IF(G$5*$AH71&lt;G$5*G$14,(G$19*G$6*(1+Overview!$B$53)^-(G$5*$AH71)),0)</f>
        <v>0</v>
      </c>
      <c r="AL71" s="94">
        <f>IF($AH71=0,0,IF(E$5*$AH71&lt;=E$5*E$14,(E$22*E$6*(1+Overview!$B$53)^-(E$5*$AH71)),0))</f>
        <v>0</v>
      </c>
      <c r="AM71" s="89">
        <f>IF($AH71=0,0,IF(F$5*$AH71&lt;=F$5*F$14,(F$22*F$6*(1+Overview!$B$53)^-(F$5*$AH71)),0))</f>
        <v>0</v>
      </c>
      <c r="AN71" s="95">
        <f>IF($AH71=0,0,IF(G$5*$AH71&lt;=G$5*G$14,(G$22*G$6*(1+Overview!$B$53)^-(G$5*$AH71)),0))</f>
        <v>0</v>
      </c>
      <c r="AO71" s="94">
        <f>IF(E$16&gt;0,IF($AH70*E$14=E$4,-(E$16/E$5)*E$19*E$6*(1+Overview!$B$53)^-E$4+(E$22*E$6*(1+Overview!$B$53)^-E$4),0),0)</f>
        <v>0</v>
      </c>
      <c r="AP71" s="89">
        <f>IF(F$16&gt;0,IF($AH70*F$14=F$4,-(F$16/F$5)*F$19*F$6*(1+Overview!$B$53)^-F$4+(F$22*F$6*(1+Overview!$B$53)^-F$4),0),0)</f>
        <v>0</v>
      </c>
      <c r="AQ71" s="95">
        <f>IF(G$16&gt;0,IF($AH70*G$14=G$4,-(G$16/G$5)*G$19*G$6*(1+Overview!$B$53)^-G$4+(G$22*G$6*(1+Overview!$B$53)^-G$4),0),0)</f>
        <v>0</v>
      </c>
      <c r="AR71" s="84"/>
      <c r="AS71" s="109">
        <f t="shared" si="7"/>
        <v>65</v>
      </c>
      <c r="AT71" s="94">
        <f>IF($AS71&lt;E$4,E$20*E$6*E$11*(1+Overview!$B$53)^-($AS71),0)</f>
        <v>0</v>
      </c>
      <c r="AU71" s="89">
        <f>IF($AS71&lt;F$4,F$20*F$6*F$11*(1+Overview!$B$53)^-($AS71),0)</f>
        <v>0</v>
      </c>
      <c r="AV71" s="89">
        <f>IF($AS71&lt;G$4,G$20*G$6*G$11*(1+Overview!$B$53)^-($AS71),0)</f>
        <v>0</v>
      </c>
      <c r="AW71" s="94">
        <f>IF(E$67=0,IF($AS71&lt;E$4,E$55*(1+Overview!$B$53)^-($AS71),0),IF($AS71&lt;E$4,E$67*(1+Overview!$B$53)^-($AS71),0))</f>
        <v>0</v>
      </c>
      <c r="AX71" s="89">
        <f>IF(F$67=0,IF($AS71&lt;F$4,F$55*(1+Overview!$B$53)^-($AS71),0),IF($AS71&lt;F$4,F$67*(1+Overview!$B$53)^-($AS71),0))</f>
        <v>0</v>
      </c>
      <c r="AY71" s="89">
        <f>IF(G$67=0,IF($AS71&lt;G$4,G$55*(1+Overview!$B$53)^-($AS71),0),IF($AS71&lt;G$4,G$67*(1+Overview!$B$53)^-($AS71),0))</f>
        <v>0</v>
      </c>
      <c r="AZ71" s="89">
        <f>IF(E$68=0,IF($AS71&lt;E$4,E$56*(1+Overview!$B$53)^-($AS71),0),IF($AS71&lt;E$4,E$68*(1+Overview!$B$53)^-($AS71),0))</f>
        <v>0</v>
      </c>
      <c r="BA71" s="89">
        <f>IF(F$68=0,IF($AS71&lt;F$4,F$56*(1+Overview!$B$53)^-($AS71),0),IF($AS71&lt;F$4,F$68*(1+Overview!$B$53)^-($AS71),0))</f>
        <v>0</v>
      </c>
      <c r="BB71" s="89">
        <f>IF(G$68=0,IF($AS71&lt;G$4,G$56*(1+Overview!$B$53)^-($AS71),0),IF($AS71&lt;G$4,G$68*(1+Overview!$B$53)^-($AS71),0))</f>
        <v>0</v>
      </c>
      <c r="BC71" s="89">
        <f>IF(E$69=0,IF($AS71&lt;E$4,E$57*(1+Overview!$B$53)^-($AS71),0),IF($AS71&lt;E$4,E$69*(1+Overview!$B$53)^-($AS71),0))</f>
        <v>0</v>
      </c>
      <c r="BD71" s="89">
        <f>IF(F$69=0,IF($AS71&lt;F$4,F$57*(1+Overview!$B$53)^-($AS71),0),IF($AS71&lt;F$4,F$69*(1+Overview!$B$53)^-($AS71),0))</f>
        <v>0</v>
      </c>
      <c r="BE71" s="95">
        <f>IF(G$69=0,IF($AS71&lt;G$4,G$57*(1+Overview!$B$53)^-($AS71),0),IF($AS71&lt;G$4,G$69*(1+Overview!$B$53)^-($AS71),0))</f>
        <v>0</v>
      </c>
      <c r="BF71" s="1"/>
    </row>
    <row r="72" spans="1:58" x14ac:dyDescent="0.3">
      <c r="A72" s="68"/>
      <c r="B72" s="78"/>
      <c r="C72" s="78"/>
      <c r="D72" s="33"/>
      <c r="E72" s="33"/>
      <c r="F72" s="33"/>
      <c r="G72" s="33"/>
      <c r="H72" s="33"/>
      <c r="I72" s="33"/>
      <c r="J72" s="33"/>
      <c r="K72" s="77"/>
      <c r="L72" s="33"/>
      <c r="M72" s="33"/>
      <c r="N72" s="33"/>
      <c r="O72" s="33"/>
      <c r="P72" s="142"/>
      <c r="Q72" s="151"/>
      <c r="R72" s="118">
        <f t="shared" si="4"/>
        <v>65</v>
      </c>
      <c r="S72" s="94">
        <f t="shared" si="22"/>
        <v>0</v>
      </c>
      <c r="T72" s="89">
        <f t="shared" si="22"/>
        <v>0</v>
      </c>
      <c r="U72" s="95">
        <f t="shared" si="22"/>
        <v>0</v>
      </c>
      <c r="V72" s="94">
        <f t="shared" si="23"/>
        <v>0</v>
      </c>
      <c r="W72" s="89">
        <f t="shared" si="23"/>
        <v>0</v>
      </c>
      <c r="X72" s="95">
        <f t="shared" si="23"/>
        <v>0</v>
      </c>
      <c r="Y72" s="89"/>
      <c r="Z72" s="118">
        <f t="shared" si="5"/>
        <v>66</v>
      </c>
      <c r="AA72" s="94">
        <f t="shared" si="24"/>
        <v>0</v>
      </c>
      <c r="AB72" s="89">
        <f t="shared" si="24"/>
        <v>0</v>
      </c>
      <c r="AC72" s="95">
        <f t="shared" si="24"/>
        <v>0</v>
      </c>
      <c r="AD72" s="94">
        <f t="shared" si="25"/>
        <v>0</v>
      </c>
      <c r="AE72" s="89">
        <f t="shared" si="25"/>
        <v>0</v>
      </c>
      <c r="AF72" s="95">
        <f t="shared" si="25"/>
        <v>0</v>
      </c>
      <c r="AG72" s="84"/>
      <c r="AH72" s="118">
        <f t="shared" si="6"/>
        <v>65</v>
      </c>
      <c r="AI72" s="94">
        <f>IF(E$5*$AH72&lt;E$5*E$14,(E$19*E$6*(1+Overview!$B$53)^-(E$5*$AH72)),0)</f>
        <v>0</v>
      </c>
      <c r="AJ72" s="89">
        <f>IF(F$5*$AH72&lt;F$5*F$14,(F$19*F$6*(1+Overview!$B$53)^-(F$5*$AH72)),0)</f>
        <v>0</v>
      </c>
      <c r="AK72" s="95">
        <f>IF(G$5*$AH72&lt;G$5*G$14,(G$19*G$6*(1+Overview!$B$53)^-(G$5*$AH72)),0)</f>
        <v>0</v>
      </c>
      <c r="AL72" s="94">
        <f>IF($AH72=0,0,IF(E$5*$AH72&lt;=E$5*E$14,(E$22*E$6*(1+Overview!$B$53)^-(E$5*$AH72)),0))</f>
        <v>0</v>
      </c>
      <c r="AM72" s="89">
        <f>IF($AH72=0,0,IF(F$5*$AH72&lt;=F$5*F$14,(F$22*F$6*(1+Overview!$B$53)^-(F$5*$AH72)),0))</f>
        <v>0</v>
      </c>
      <c r="AN72" s="95">
        <f>IF($AH72=0,0,IF(G$5*$AH72&lt;=G$5*G$14,(G$22*G$6*(1+Overview!$B$53)^-(G$5*$AH72)),0))</f>
        <v>0</v>
      </c>
      <c r="AO72" s="94">
        <f>IF(E$16&gt;0,IF($AH71*E$14=E$4,-(E$16/E$5)*E$19*E$6*(1+Overview!$B$53)^-E$4+(E$22*E$6*(1+Overview!$B$53)^-E$4),0),0)</f>
        <v>0</v>
      </c>
      <c r="AP72" s="89">
        <f>IF(F$16&gt;0,IF($AH71*F$14=F$4,-(F$16/F$5)*F$19*F$6*(1+Overview!$B$53)^-F$4+(F$22*F$6*(1+Overview!$B$53)^-F$4),0),0)</f>
        <v>0</v>
      </c>
      <c r="AQ72" s="95">
        <f>IF(G$16&gt;0,IF($AH71*G$14=G$4,-(G$16/G$5)*G$19*G$6*(1+Overview!$B$53)^-G$4+(G$22*G$6*(1+Overview!$B$53)^-G$4),0),0)</f>
        <v>0</v>
      </c>
      <c r="AR72" s="84"/>
      <c r="AS72" s="109">
        <f t="shared" si="7"/>
        <v>66</v>
      </c>
      <c r="AT72" s="94">
        <f>IF($AS72&lt;E$4,E$20*E$6*E$11*(1+Overview!$B$53)^-($AS72),0)</f>
        <v>0</v>
      </c>
      <c r="AU72" s="89">
        <f>IF($AS72&lt;F$4,F$20*F$6*F$11*(1+Overview!$B$53)^-($AS72),0)</f>
        <v>0</v>
      </c>
      <c r="AV72" s="89">
        <f>IF($AS72&lt;G$4,G$20*G$6*G$11*(1+Overview!$B$53)^-($AS72),0)</f>
        <v>0</v>
      </c>
      <c r="AW72" s="94">
        <f>IF(E$67=0,IF($AS72&lt;E$4,E$55*(1+Overview!$B$53)^-($AS72),0),IF($AS72&lt;E$4,E$67*(1+Overview!$B$53)^-($AS72),0))</f>
        <v>0</v>
      </c>
      <c r="AX72" s="89">
        <f>IF(F$67=0,IF($AS72&lt;F$4,F$55*(1+Overview!$B$53)^-($AS72),0),IF($AS72&lt;F$4,F$67*(1+Overview!$B$53)^-($AS72),0))</f>
        <v>0</v>
      </c>
      <c r="AY72" s="89">
        <f>IF(G$67=0,IF($AS72&lt;G$4,G$55*(1+Overview!$B$53)^-($AS72),0),IF($AS72&lt;G$4,G$67*(1+Overview!$B$53)^-($AS72),0))</f>
        <v>0</v>
      </c>
      <c r="AZ72" s="89">
        <f>IF(E$68=0,IF($AS72&lt;E$4,E$56*(1+Overview!$B$53)^-($AS72),0),IF($AS72&lt;E$4,E$68*(1+Overview!$B$53)^-($AS72),0))</f>
        <v>0</v>
      </c>
      <c r="BA72" s="89">
        <f>IF(F$68=0,IF($AS72&lt;F$4,F$56*(1+Overview!$B$53)^-($AS72),0),IF($AS72&lt;F$4,F$68*(1+Overview!$B$53)^-($AS72),0))</f>
        <v>0</v>
      </c>
      <c r="BB72" s="89">
        <f>IF(G$68=0,IF($AS72&lt;G$4,G$56*(1+Overview!$B$53)^-($AS72),0),IF($AS72&lt;G$4,G$68*(1+Overview!$B$53)^-($AS72),0))</f>
        <v>0</v>
      </c>
      <c r="BC72" s="89">
        <f>IF(E$69=0,IF($AS72&lt;E$4,E$57*(1+Overview!$B$53)^-($AS72),0),IF($AS72&lt;E$4,E$69*(1+Overview!$B$53)^-($AS72),0))</f>
        <v>0</v>
      </c>
      <c r="BD72" s="89">
        <f>IF(F$69=0,IF($AS72&lt;F$4,F$57*(1+Overview!$B$53)^-($AS72),0),IF($AS72&lt;F$4,F$69*(1+Overview!$B$53)^-($AS72),0))</f>
        <v>0</v>
      </c>
      <c r="BE72" s="95">
        <f>IF(G$69=0,IF($AS72&lt;G$4,G$57*(1+Overview!$B$53)^-($AS72),0),IF($AS72&lt;G$4,G$69*(1+Overview!$B$53)^-($AS72),0))</f>
        <v>0</v>
      </c>
      <c r="BF72" s="1"/>
    </row>
    <row r="73" spans="1:58" x14ac:dyDescent="0.3">
      <c r="A73" s="135" t="s">
        <v>143</v>
      </c>
      <c r="B73" s="129" t="s">
        <v>144</v>
      </c>
      <c r="C73" s="129" t="s">
        <v>145</v>
      </c>
      <c r="D73" s="129"/>
      <c r="E73" s="33"/>
      <c r="F73" s="33"/>
      <c r="G73" s="33"/>
      <c r="H73" s="33"/>
      <c r="I73" s="33"/>
      <c r="J73" s="33"/>
      <c r="K73" s="77"/>
      <c r="L73" s="33"/>
      <c r="M73" s="33"/>
      <c r="N73" s="33"/>
      <c r="O73" s="33"/>
      <c r="P73" s="142"/>
      <c r="Q73" s="151"/>
      <c r="R73" s="118">
        <f t="shared" ref="R73:R107" si="28">R72+1</f>
        <v>66</v>
      </c>
      <c r="S73" s="94">
        <f t="shared" si="22"/>
        <v>0</v>
      </c>
      <c r="T73" s="89">
        <f t="shared" si="22"/>
        <v>0</v>
      </c>
      <c r="U73" s="95">
        <f t="shared" si="22"/>
        <v>0</v>
      </c>
      <c r="V73" s="94">
        <f t="shared" si="23"/>
        <v>0</v>
      </c>
      <c r="W73" s="89">
        <f t="shared" si="23"/>
        <v>0</v>
      </c>
      <c r="X73" s="95">
        <f t="shared" si="23"/>
        <v>0</v>
      </c>
      <c r="Y73" s="89"/>
      <c r="Z73" s="118">
        <f t="shared" ref="Z73:Z107" si="29">Z72+1</f>
        <v>67</v>
      </c>
      <c r="AA73" s="94">
        <f t="shared" si="24"/>
        <v>0</v>
      </c>
      <c r="AB73" s="89">
        <f t="shared" si="24"/>
        <v>0</v>
      </c>
      <c r="AC73" s="95">
        <f t="shared" si="24"/>
        <v>0</v>
      </c>
      <c r="AD73" s="94">
        <f t="shared" si="25"/>
        <v>0</v>
      </c>
      <c r="AE73" s="89">
        <f t="shared" si="25"/>
        <v>0</v>
      </c>
      <c r="AF73" s="95">
        <f t="shared" si="25"/>
        <v>0</v>
      </c>
      <c r="AG73" s="84"/>
      <c r="AH73" s="118">
        <f t="shared" ref="AH73:AH107" si="30">AH72+1</f>
        <v>66</v>
      </c>
      <c r="AI73" s="94">
        <f>IF(E$5*$AH73&lt;E$5*E$14,(E$19*E$6*(1+Overview!$B$53)^-(E$5*$AH73)),0)</f>
        <v>0</v>
      </c>
      <c r="AJ73" s="89">
        <f>IF(F$5*$AH73&lt;F$5*F$14,(F$19*F$6*(1+Overview!$B$53)^-(F$5*$AH73)),0)</f>
        <v>0</v>
      </c>
      <c r="AK73" s="95">
        <f>IF(G$5*$AH73&lt;G$5*G$14,(G$19*G$6*(1+Overview!$B$53)^-(G$5*$AH73)),0)</f>
        <v>0</v>
      </c>
      <c r="AL73" s="94">
        <f>IF($AH73=0,0,IF(E$5*$AH73&lt;=E$5*E$14,(E$22*E$6*(1+Overview!$B$53)^-(E$5*$AH73)),0))</f>
        <v>0</v>
      </c>
      <c r="AM73" s="89">
        <f>IF($AH73=0,0,IF(F$5*$AH73&lt;=F$5*F$14,(F$22*F$6*(1+Overview!$B$53)^-(F$5*$AH73)),0))</f>
        <v>0</v>
      </c>
      <c r="AN73" s="95">
        <f>IF($AH73=0,0,IF(G$5*$AH73&lt;=G$5*G$14,(G$22*G$6*(1+Overview!$B$53)^-(G$5*$AH73)),0))</f>
        <v>0</v>
      </c>
      <c r="AO73" s="94">
        <f>IF(E$16&gt;0,IF($AH72*E$14=E$4,-(E$16/E$5)*E$19*E$6*(1+Overview!$B$53)^-E$4+(E$22*E$6*(1+Overview!$B$53)^-E$4),0),0)</f>
        <v>0</v>
      </c>
      <c r="AP73" s="89">
        <f>IF(F$16&gt;0,IF($AH72*F$14=F$4,-(F$16/F$5)*F$19*F$6*(1+Overview!$B$53)^-F$4+(F$22*F$6*(1+Overview!$B$53)^-F$4),0),0)</f>
        <v>0</v>
      </c>
      <c r="AQ73" s="95">
        <f>IF(G$16&gt;0,IF($AH72*G$14=G$4,-(G$16/G$5)*G$19*G$6*(1+Overview!$B$53)^-G$4+(G$22*G$6*(1+Overview!$B$53)^-G$4),0),0)</f>
        <v>0</v>
      </c>
      <c r="AR73" s="84"/>
      <c r="AS73" s="109">
        <f t="shared" ref="AS73:AS107" si="31">AS72+1</f>
        <v>67</v>
      </c>
      <c r="AT73" s="94">
        <f>IF($AS73&lt;E$4,E$20*E$6*E$11*(1+Overview!$B$53)^-($AS73),0)</f>
        <v>0</v>
      </c>
      <c r="AU73" s="89">
        <f>IF($AS73&lt;F$4,F$20*F$6*F$11*(1+Overview!$B$53)^-($AS73),0)</f>
        <v>0</v>
      </c>
      <c r="AV73" s="89">
        <f>IF($AS73&lt;G$4,G$20*G$6*G$11*(1+Overview!$B$53)^-($AS73),0)</f>
        <v>0</v>
      </c>
      <c r="AW73" s="94">
        <f>IF(E$67=0,IF($AS73&lt;E$4,E$55*(1+Overview!$B$53)^-($AS73),0),IF($AS73&lt;E$4,E$67*(1+Overview!$B$53)^-($AS73),0))</f>
        <v>0</v>
      </c>
      <c r="AX73" s="89">
        <f>IF(F$67=0,IF($AS73&lt;F$4,F$55*(1+Overview!$B$53)^-($AS73),0),IF($AS73&lt;F$4,F$67*(1+Overview!$B$53)^-($AS73),0))</f>
        <v>0</v>
      </c>
      <c r="AY73" s="89">
        <f>IF(G$67=0,IF($AS73&lt;G$4,G$55*(1+Overview!$B$53)^-($AS73),0),IF($AS73&lt;G$4,G$67*(1+Overview!$B$53)^-($AS73),0))</f>
        <v>0</v>
      </c>
      <c r="AZ73" s="89">
        <f>IF(E$68=0,IF($AS73&lt;E$4,E$56*(1+Overview!$B$53)^-($AS73),0),IF($AS73&lt;E$4,E$68*(1+Overview!$B$53)^-($AS73),0))</f>
        <v>0</v>
      </c>
      <c r="BA73" s="89">
        <f>IF(F$68=0,IF($AS73&lt;F$4,F$56*(1+Overview!$B$53)^-($AS73),0),IF($AS73&lt;F$4,F$68*(1+Overview!$B$53)^-($AS73),0))</f>
        <v>0</v>
      </c>
      <c r="BB73" s="89">
        <f>IF(G$68=0,IF($AS73&lt;G$4,G$56*(1+Overview!$B$53)^-($AS73),0),IF($AS73&lt;G$4,G$68*(1+Overview!$B$53)^-($AS73),0))</f>
        <v>0</v>
      </c>
      <c r="BC73" s="89">
        <f>IF(E$69=0,IF($AS73&lt;E$4,E$57*(1+Overview!$B$53)^-($AS73),0),IF($AS73&lt;E$4,E$69*(1+Overview!$B$53)^-($AS73),0))</f>
        <v>0</v>
      </c>
      <c r="BD73" s="89">
        <f>IF(F$69=0,IF($AS73&lt;F$4,F$57*(1+Overview!$B$53)^-($AS73),0),IF($AS73&lt;F$4,F$69*(1+Overview!$B$53)^-($AS73),0))</f>
        <v>0</v>
      </c>
      <c r="BE73" s="95">
        <f>IF(G$69=0,IF($AS73&lt;G$4,G$57*(1+Overview!$B$53)^-($AS73),0),IF($AS73&lt;G$4,G$69*(1+Overview!$B$53)^-($AS73),0))</f>
        <v>0</v>
      </c>
      <c r="BF73" s="1"/>
    </row>
    <row r="74" spans="1:58" x14ac:dyDescent="0.3">
      <c r="A74" s="33"/>
      <c r="B74" s="129" t="s">
        <v>146</v>
      </c>
      <c r="C74" s="129" t="s">
        <v>145</v>
      </c>
      <c r="D74" s="129"/>
      <c r="E74" s="33"/>
      <c r="F74" s="33"/>
      <c r="G74" s="33"/>
      <c r="H74" s="33"/>
      <c r="I74" s="33"/>
      <c r="J74" s="33"/>
      <c r="K74" s="77"/>
      <c r="L74" s="33"/>
      <c r="M74" s="33"/>
      <c r="N74" s="33"/>
      <c r="O74" s="33"/>
      <c r="P74" s="142"/>
      <c r="Q74" s="151"/>
      <c r="R74" s="118">
        <f t="shared" si="28"/>
        <v>67</v>
      </c>
      <c r="S74" s="94">
        <f t="shared" si="22"/>
        <v>0</v>
      </c>
      <c r="T74" s="89">
        <f t="shared" si="22"/>
        <v>0</v>
      </c>
      <c r="U74" s="95">
        <f t="shared" si="22"/>
        <v>0</v>
      </c>
      <c r="V74" s="94">
        <f t="shared" si="23"/>
        <v>0</v>
      </c>
      <c r="W74" s="89">
        <f t="shared" si="23"/>
        <v>0</v>
      </c>
      <c r="X74" s="95">
        <f t="shared" si="23"/>
        <v>0</v>
      </c>
      <c r="Y74" s="89"/>
      <c r="Z74" s="118">
        <f t="shared" si="29"/>
        <v>68</v>
      </c>
      <c r="AA74" s="94">
        <f t="shared" si="24"/>
        <v>0</v>
      </c>
      <c r="AB74" s="89">
        <f t="shared" si="24"/>
        <v>0</v>
      </c>
      <c r="AC74" s="95">
        <f t="shared" si="24"/>
        <v>0</v>
      </c>
      <c r="AD74" s="94">
        <f t="shared" si="25"/>
        <v>0</v>
      </c>
      <c r="AE74" s="89">
        <f t="shared" si="25"/>
        <v>0</v>
      </c>
      <c r="AF74" s="95">
        <f t="shared" si="25"/>
        <v>0</v>
      </c>
      <c r="AG74" s="84"/>
      <c r="AH74" s="118">
        <f t="shared" si="30"/>
        <v>67</v>
      </c>
      <c r="AI74" s="94">
        <f>IF(E$5*$AH74&lt;E$5*E$14,(E$19*E$6*(1+Overview!$B$53)^-(E$5*$AH74)),0)</f>
        <v>0</v>
      </c>
      <c r="AJ74" s="89">
        <f>IF(F$5*$AH74&lt;F$5*F$14,(F$19*F$6*(1+Overview!$B$53)^-(F$5*$AH74)),0)</f>
        <v>0</v>
      </c>
      <c r="AK74" s="95">
        <f>IF(G$5*$AH74&lt;G$5*G$14,(G$19*G$6*(1+Overview!$B$53)^-(G$5*$AH74)),0)</f>
        <v>0</v>
      </c>
      <c r="AL74" s="94">
        <f>IF($AH74=0,0,IF(E$5*$AH74&lt;=E$5*E$14,(E$22*E$6*(1+Overview!$B$53)^-(E$5*$AH74)),0))</f>
        <v>0</v>
      </c>
      <c r="AM74" s="89">
        <f>IF($AH74=0,0,IF(F$5*$AH74&lt;=F$5*F$14,(F$22*F$6*(1+Overview!$B$53)^-(F$5*$AH74)),0))</f>
        <v>0</v>
      </c>
      <c r="AN74" s="95">
        <f>IF($AH74=0,0,IF(G$5*$AH74&lt;=G$5*G$14,(G$22*G$6*(1+Overview!$B$53)^-(G$5*$AH74)),0))</f>
        <v>0</v>
      </c>
      <c r="AO74" s="94">
        <f>IF(E$16&gt;0,IF($AH73*E$14=E$4,-(E$16/E$5)*E$19*E$6*(1+Overview!$B$53)^-E$4+(E$22*E$6*(1+Overview!$B$53)^-E$4),0),0)</f>
        <v>0</v>
      </c>
      <c r="AP74" s="89">
        <f>IF(F$16&gt;0,IF($AH73*F$14=F$4,-(F$16/F$5)*F$19*F$6*(1+Overview!$B$53)^-F$4+(F$22*F$6*(1+Overview!$B$53)^-F$4),0),0)</f>
        <v>0</v>
      </c>
      <c r="AQ74" s="95">
        <f>IF(G$16&gt;0,IF($AH73*G$14=G$4,-(G$16/G$5)*G$19*G$6*(1+Overview!$B$53)^-G$4+(G$22*G$6*(1+Overview!$B$53)^-G$4),0),0)</f>
        <v>0</v>
      </c>
      <c r="AR74" s="84"/>
      <c r="AS74" s="109">
        <f t="shared" si="31"/>
        <v>68</v>
      </c>
      <c r="AT74" s="94">
        <f>IF($AS74&lt;E$4,E$20*E$6*E$11*(1+Overview!$B$53)^-($AS74),0)</f>
        <v>0</v>
      </c>
      <c r="AU74" s="89">
        <f>IF($AS74&lt;F$4,F$20*F$6*F$11*(1+Overview!$B$53)^-($AS74),0)</f>
        <v>0</v>
      </c>
      <c r="AV74" s="89">
        <f>IF($AS74&lt;G$4,G$20*G$6*G$11*(1+Overview!$B$53)^-($AS74),0)</f>
        <v>0</v>
      </c>
      <c r="AW74" s="94">
        <f>IF(E$67=0,IF($AS74&lt;E$4,E$55*(1+Overview!$B$53)^-($AS74),0),IF($AS74&lt;E$4,E$67*(1+Overview!$B$53)^-($AS74),0))</f>
        <v>0</v>
      </c>
      <c r="AX74" s="89">
        <f>IF(F$67=0,IF($AS74&lt;F$4,F$55*(1+Overview!$B$53)^-($AS74),0),IF($AS74&lt;F$4,F$67*(1+Overview!$B$53)^-($AS74),0))</f>
        <v>0</v>
      </c>
      <c r="AY74" s="89">
        <f>IF(G$67=0,IF($AS74&lt;G$4,G$55*(1+Overview!$B$53)^-($AS74),0),IF($AS74&lt;G$4,G$67*(1+Overview!$B$53)^-($AS74),0))</f>
        <v>0</v>
      </c>
      <c r="AZ74" s="89">
        <f>IF(E$68=0,IF($AS74&lt;E$4,E$56*(1+Overview!$B$53)^-($AS74),0),IF($AS74&lt;E$4,E$68*(1+Overview!$B$53)^-($AS74),0))</f>
        <v>0</v>
      </c>
      <c r="BA74" s="89">
        <f>IF(F$68=0,IF($AS74&lt;F$4,F$56*(1+Overview!$B$53)^-($AS74),0),IF($AS74&lt;F$4,F$68*(1+Overview!$B$53)^-($AS74),0))</f>
        <v>0</v>
      </c>
      <c r="BB74" s="89">
        <f>IF(G$68=0,IF($AS74&lt;G$4,G$56*(1+Overview!$B$53)^-($AS74),0),IF($AS74&lt;G$4,G$68*(1+Overview!$B$53)^-($AS74),0))</f>
        <v>0</v>
      </c>
      <c r="BC74" s="89">
        <f>IF(E$69=0,IF($AS74&lt;E$4,E$57*(1+Overview!$B$53)^-($AS74),0),IF($AS74&lt;E$4,E$69*(1+Overview!$B$53)^-($AS74),0))</f>
        <v>0</v>
      </c>
      <c r="BD74" s="89">
        <f>IF(F$69=0,IF($AS74&lt;F$4,F$57*(1+Overview!$B$53)^-($AS74),0),IF($AS74&lt;F$4,F$69*(1+Overview!$B$53)^-($AS74),0))</f>
        <v>0</v>
      </c>
      <c r="BE74" s="95">
        <f>IF(G$69=0,IF($AS74&lt;G$4,G$57*(1+Overview!$B$53)^-($AS74),0),IF($AS74&lt;G$4,G$69*(1+Overview!$B$53)^-($AS74),0))</f>
        <v>0</v>
      </c>
      <c r="BF74" s="1"/>
    </row>
    <row r="75" spans="1:58" x14ac:dyDescent="0.3">
      <c r="A75" s="33"/>
      <c r="B75" s="129" t="s">
        <v>147</v>
      </c>
      <c r="C75" s="129" t="s">
        <v>148</v>
      </c>
      <c r="D75" s="129"/>
      <c r="E75" s="33"/>
      <c r="F75" s="33"/>
      <c r="G75" s="33"/>
      <c r="H75" s="33"/>
      <c r="I75" s="33"/>
      <c r="J75" s="33"/>
      <c r="K75" s="77"/>
      <c r="L75" s="33"/>
      <c r="M75" s="33"/>
      <c r="N75" s="33"/>
      <c r="O75" s="33"/>
      <c r="P75" s="142"/>
      <c r="Q75" s="151"/>
      <c r="R75" s="118">
        <f t="shared" si="28"/>
        <v>68</v>
      </c>
      <c r="S75" s="94">
        <f t="shared" si="22"/>
        <v>0</v>
      </c>
      <c r="T75" s="89">
        <f t="shared" si="22"/>
        <v>0</v>
      </c>
      <c r="U75" s="95">
        <f t="shared" si="22"/>
        <v>0</v>
      </c>
      <c r="V75" s="94">
        <f t="shared" si="23"/>
        <v>0</v>
      </c>
      <c r="W75" s="89">
        <f t="shared" si="23"/>
        <v>0</v>
      </c>
      <c r="X75" s="95">
        <f t="shared" si="23"/>
        <v>0</v>
      </c>
      <c r="Y75" s="89"/>
      <c r="Z75" s="118">
        <f t="shared" si="29"/>
        <v>69</v>
      </c>
      <c r="AA75" s="94">
        <f t="shared" si="24"/>
        <v>0</v>
      </c>
      <c r="AB75" s="89">
        <f t="shared" si="24"/>
        <v>0</v>
      </c>
      <c r="AC75" s="95">
        <f t="shared" si="24"/>
        <v>0</v>
      </c>
      <c r="AD75" s="94">
        <f t="shared" si="25"/>
        <v>0</v>
      </c>
      <c r="AE75" s="89">
        <f t="shared" si="25"/>
        <v>0</v>
      </c>
      <c r="AF75" s="95">
        <f t="shared" si="25"/>
        <v>0</v>
      </c>
      <c r="AG75" s="84"/>
      <c r="AH75" s="118">
        <f t="shared" si="30"/>
        <v>68</v>
      </c>
      <c r="AI75" s="94">
        <f>IF(E$5*$AH75&lt;E$5*E$14,(E$19*E$6*(1+Overview!$B$53)^-(E$5*$AH75)),0)</f>
        <v>0</v>
      </c>
      <c r="AJ75" s="89">
        <f>IF(F$5*$AH75&lt;F$5*F$14,(F$19*F$6*(1+Overview!$B$53)^-(F$5*$AH75)),0)</f>
        <v>0</v>
      </c>
      <c r="AK75" s="95">
        <f>IF(G$5*$AH75&lt;G$5*G$14,(G$19*G$6*(1+Overview!$B$53)^-(G$5*$AH75)),0)</f>
        <v>0</v>
      </c>
      <c r="AL75" s="94">
        <f>IF($AH75=0,0,IF(E$5*$AH75&lt;=E$5*E$14,(E$22*E$6*(1+Overview!$B$53)^-(E$5*$AH75)),0))</f>
        <v>0</v>
      </c>
      <c r="AM75" s="89">
        <f>IF($AH75=0,0,IF(F$5*$AH75&lt;=F$5*F$14,(F$22*F$6*(1+Overview!$B$53)^-(F$5*$AH75)),0))</f>
        <v>0</v>
      </c>
      <c r="AN75" s="95">
        <f>IF($AH75=0,0,IF(G$5*$AH75&lt;=G$5*G$14,(G$22*G$6*(1+Overview!$B$53)^-(G$5*$AH75)),0))</f>
        <v>0</v>
      </c>
      <c r="AO75" s="94">
        <f>IF(E$16&gt;0,IF($AH74*E$14=E$4,-(E$16/E$5)*E$19*E$6*(1+Overview!$B$53)^-E$4+(E$22*E$6*(1+Overview!$B$53)^-E$4),0),0)</f>
        <v>0</v>
      </c>
      <c r="AP75" s="89">
        <f>IF(F$16&gt;0,IF($AH74*F$14=F$4,-(F$16/F$5)*F$19*F$6*(1+Overview!$B$53)^-F$4+(F$22*F$6*(1+Overview!$B$53)^-F$4),0),0)</f>
        <v>0</v>
      </c>
      <c r="AQ75" s="95">
        <f>IF(G$16&gt;0,IF($AH74*G$14=G$4,-(G$16/G$5)*G$19*G$6*(1+Overview!$B$53)^-G$4+(G$22*G$6*(1+Overview!$B$53)^-G$4),0),0)</f>
        <v>0</v>
      </c>
      <c r="AR75" s="84"/>
      <c r="AS75" s="109">
        <f t="shared" si="31"/>
        <v>69</v>
      </c>
      <c r="AT75" s="94">
        <f>IF($AS75&lt;E$4,E$20*E$6*E$11*(1+Overview!$B$53)^-($AS75),0)</f>
        <v>0</v>
      </c>
      <c r="AU75" s="89">
        <f>IF($AS75&lt;F$4,F$20*F$6*F$11*(1+Overview!$B$53)^-($AS75),0)</f>
        <v>0</v>
      </c>
      <c r="AV75" s="89">
        <f>IF($AS75&lt;G$4,G$20*G$6*G$11*(1+Overview!$B$53)^-($AS75),0)</f>
        <v>0</v>
      </c>
      <c r="AW75" s="94">
        <f>IF(E$67=0,IF($AS75&lt;E$4,E$55*(1+Overview!$B$53)^-($AS75),0),IF($AS75&lt;E$4,E$67*(1+Overview!$B$53)^-($AS75),0))</f>
        <v>0</v>
      </c>
      <c r="AX75" s="89">
        <f>IF(F$67=0,IF($AS75&lt;F$4,F$55*(1+Overview!$B$53)^-($AS75),0),IF($AS75&lt;F$4,F$67*(1+Overview!$B$53)^-($AS75),0))</f>
        <v>0</v>
      </c>
      <c r="AY75" s="89">
        <f>IF(G$67=0,IF($AS75&lt;G$4,G$55*(1+Overview!$B$53)^-($AS75),0),IF($AS75&lt;G$4,G$67*(1+Overview!$B$53)^-($AS75),0))</f>
        <v>0</v>
      </c>
      <c r="AZ75" s="89">
        <f>IF(E$68=0,IF($AS75&lt;E$4,E$56*(1+Overview!$B$53)^-($AS75),0),IF($AS75&lt;E$4,E$68*(1+Overview!$B$53)^-($AS75),0))</f>
        <v>0</v>
      </c>
      <c r="BA75" s="89">
        <f>IF(F$68=0,IF($AS75&lt;F$4,F$56*(1+Overview!$B$53)^-($AS75),0),IF($AS75&lt;F$4,F$68*(1+Overview!$B$53)^-($AS75),0))</f>
        <v>0</v>
      </c>
      <c r="BB75" s="89">
        <f>IF(G$68=0,IF($AS75&lt;G$4,G$56*(1+Overview!$B$53)^-($AS75),0),IF($AS75&lt;G$4,G$68*(1+Overview!$B$53)^-($AS75),0))</f>
        <v>0</v>
      </c>
      <c r="BC75" s="89">
        <f>IF(E$69=0,IF($AS75&lt;E$4,E$57*(1+Overview!$B$53)^-($AS75),0),IF($AS75&lt;E$4,E$69*(1+Overview!$B$53)^-($AS75),0))</f>
        <v>0</v>
      </c>
      <c r="BD75" s="89">
        <f>IF(F$69=0,IF($AS75&lt;F$4,F$57*(1+Overview!$B$53)^-($AS75),0),IF($AS75&lt;F$4,F$69*(1+Overview!$B$53)^-($AS75),0))</f>
        <v>0</v>
      </c>
      <c r="BE75" s="95">
        <f>IF(G$69=0,IF($AS75&lt;G$4,G$57*(1+Overview!$B$53)^-($AS75),0),IF($AS75&lt;G$4,G$69*(1+Overview!$B$53)^-($AS75),0))</f>
        <v>0</v>
      </c>
      <c r="BF75" s="1"/>
    </row>
    <row r="76" spans="1:58" x14ac:dyDescent="0.3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0"/>
      <c r="L76" s="82"/>
      <c r="M76" s="82"/>
      <c r="N76" s="82"/>
      <c r="O76" s="82"/>
      <c r="P76" s="143"/>
      <c r="Q76" s="151"/>
      <c r="R76" s="118">
        <f t="shared" si="28"/>
        <v>69</v>
      </c>
      <c r="S76" s="94">
        <f t="shared" si="22"/>
        <v>0</v>
      </c>
      <c r="T76" s="89">
        <f t="shared" si="22"/>
        <v>0</v>
      </c>
      <c r="U76" s="95">
        <f t="shared" si="22"/>
        <v>0</v>
      </c>
      <c r="V76" s="94">
        <f t="shared" si="23"/>
        <v>0</v>
      </c>
      <c r="W76" s="89">
        <f t="shared" si="23"/>
        <v>0</v>
      </c>
      <c r="X76" s="95">
        <f t="shared" si="23"/>
        <v>0</v>
      </c>
      <c r="Y76" s="89"/>
      <c r="Z76" s="118">
        <f t="shared" si="29"/>
        <v>70</v>
      </c>
      <c r="AA76" s="94">
        <f t="shared" si="24"/>
        <v>0</v>
      </c>
      <c r="AB76" s="89">
        <f t="shared" si="24"/>
        <v>0</v>
      </c>
      <c r="AC76" s="95">
        <f t="shared" si="24"/>
        <v>0</v>
      </c>
      <c r="AD76" s="94">
        <f t="shared" si="25"/>
        <v>0</v>
      </c>
      <c r="AE76" s="89">
        <f t="shared" si="25"/>
        <v>0</v>
      </c>
      <c r="AF76" s="95">
        <f t="shared" si="25"/>
        <v>0</v>
      </c>
      <c r="AG76" s="84"/>
      <c r="AH76" s="118">
        <f t="shared" si="30"/>
        <v>69</v>
      </c>
      <c r="AI76" s="94">
        <f>IF(E$5*$AH76&lt;E$5*E$14,(E$19*E$6*(1+Overview!$B$53)^-(E$5*$AH76)),0)</f>
        <v>0</v>
      </c>
      <c r="AJ76" s="89">
        <f>IF(F$5*$AH76&lt;F$5*F$14,(F$19*F$6*(1+Overview!$B$53)^-(F$5*$AH76)),0)</f>
        <v>0</v>
      </c>
      <c r="AK76" s="95">
        <f>IF(G$5*$AH76&lt;G$5*G$14,(G$19*G$6*(1+Overview!$B$53)^-(G$5*$AH76)),0)</f>
        <v>0</v>
      </c>
      <c r="AL76" s="94">
        <f>IF($AH76=0,0,IF(E$5*$AH76&lt;=E$5*E$14,(E$22*E$6*(1+Overview!$B$53)^-(E$5*$AH76)),0))</f>
        <v>0</v>
      </c>
      <c r="AM76" s="89">
        <f>IF($AH76=0,0,IF(F$5*$AH76&lt;=F$5*F$14,(F$22*F$6*(1+Overview!$B$53)^-(F$5*$AH76)),0))</f>
        <v>0</v>
      </c>
      <c r="AN76" s="95">
        <f>IF($AH76=0,0,IF(G$5*$AH76&lt;=G$5*G$14,(G$22*G$6*(1+Overview!$B$53)^-(G$5*$AH76)),0))</f>
        <v>0</v>
      </c>
      <c r="AO76" s="94">
        <f>IF(E$16&gt;0,IF($AH75*E$14=E$4,-(E$16/E$5)*E$19*E$6*(1+Overview!$B$53)^-E$4+(E$22*E$6*(1+Overview!$B$53)^-E$4),0),0)</f>
        <v>0</v>
      </c>
      <c r="AP76" s="89">
        <f>IF(F$16&gt;0,IF($AH75*F$14=F$4,-(F$16/F$5)*F$19*F$6*(1+Overview!$B$53)^-F$4+(F$22*F$6*(1+Overview!$B$53)^-F$4),0),0)</f>
        <v>0</v>
      </c>
      <c r="AQ76" s="95">
        <f>IF(G$16&gt;0,IF($AH75*G$14=G$4,-(G$16/G$5)*G$19*G$6*(1+Overview!$B$53)^-G$4+(G$22*G$6*(1+Overview!$B$53)^-G$4),0),0)</f>
        <v>0</v>
      </c>
      <c r="AR76" s="84"/>
      <c r="AS76" s="109">
        <f t="shared" si="31"/>
        <v>70</v>
      </c>
      <c r="AT76" s="94">
        <f>IF($AS76&lt;E$4,E$20*E$6*E$11*(1+Overview!$B$53)^-($AS76),0)</f>
        <v>0</v>
      </c>
      <c r="AU76" s="89">
        <f>IF($AS76&lt;F$4,F$20*F$6*F$11*(1+Overview!$B$53)^-($AS76),0)</f>
        <v>0</v>
      </c>
      <c r="AV76" s="89">
        <f>IF($AS76&lt;G$4,G$20*G$6*G$11*(1+Overview!$B$53)^-($AS76),0)</f>
        <v>0</v>
      </c>
      <c r="AW76" s="94">
        <f>IF(E$67=0,IF($AS76&lt;E$4,E$55*(1+Overview!$B$53)^-($AS76),0),IF($AS76&lt;E$4,E$67*(1+Overview!$B$53)^-($AS76),0))</f>
        <v>0</v>
      </c>
      <c r="AX76" s="89">
        <f>IF(F$67=0,IF($AS76&lt;F$4,F$55*(1+Overview!$B$53)^-($AS76),0),IF($AS76&lt;F$4,F$67*(1+Overview!$B$53)^-($AS76),0))</f>
        <v>0</v>
      </c>
      <c r="AY76" s="89">
        <f>IF(G$67=0,IF($AS76&lt;G$4,G$55*(1+Overview!$B$53)^-($AS76),0),IF($AS76&lt;G$4,G$67*(1+Overview!$B$53)^-($AS76),0))</f>
        <v>0</v>
      </c>
      <c r="AZ76" s="89">
        <f>IF(E$68=0,IF($AS76&lt;E$4,E$56*(1+Overview!$B$53)^-($AS76),0),IF($AS76&lt;E$4,E$68*(1+Overview!$B$53)^-($AS76),0))</f>
        <v>0</v>
      </c>
      <c r="BA76" s="89">
        <f>IF(F$68=0,IF($AS76&lt;F$4,F$56*(1+Overview!$B$53)^-($AS76),0),IF($AS76&lt;F$4,F$68*(1+Overview!$B$53)^-($AS76),0))</f>
        <v>0</v>
      </c>
      <c r="BB76" s="89">
        <f>IF(G$68=0,IF($AS76&lt;G$4,G$56*(1+Overview!$B$53)^-($AS76),0),IF($AS76&lt;G$4,G$68*(1+Overview!$B$53)^-($AS76),0))</f>
        <v>0</v>
      </c>
      <c r="BC76" s="89">
        <f>IF(E$69=0,IF($AS76&lt;E$4,E$57*(1+Overview!$B$53)^-($AS76),0),IF($AS76&lt;E$4,E$69*(1+Overview!$B$53)^-($AS76),0))</f>
        <v>0</v>
      </c>
      <c r="BD76" s="89">
        <f>IF(F$69=0,IF($AS76&lt;F$4,F$57*(1+Overview!$B$53)^-($AS76),0),IF($AS76&lt;F$4,F$69*(1+Overview!$B$53)^-($AS76),0))</f>
        <v>0</v>
      </c>
      <c r="BE76" s="95">
        <f>IF(G$69=0,IF($AS76&lt;G$4,G$57*(1+Overview!$B$53)^-($AS76),0),IF($AS76&lt;G$4,G$69*(1+Overview!$B$53)^-($AS76),0))</f>
        <v>0</v>
      </c>
      <c r="BF76" s="1"/>
    </row>
    <row r="77" spans="1:58" x14ac:dyDescent="0.3">
      <c r="R77" s="118">
        <f t="shared" si="28"/>
        <v>70</v>
      </c>
      <c r="S77" s="94">
        <f t="shared" si="22"/>
        <v>0</v>
      </c>
      <c r="T77" s="89">
        <f t="shared" si="22"/>
        <v>0</v>
      </c>
      <c r="U77" s="95">
        <f t="shared" si="22"/>
        <v>0</v>
      </c>
      <c r="V77" s="94">
        <f t="shared" si="23"/>
        <v>0</v>
      </c>
      <c r="W77" s="89">
        <f t="shared" si="23"/>
        <v>0</v>
      </c>
      <c r="X77" s="95">
        <f t="shared" si="23"/>
        <v>0</v>
      </c>
      <c r="Y77" s="89"/>
      <c r="Z77" s="118">
        <f t="shared" si="29"/>
        <v>71</v>
      </c>
      <c r="AA77" s="94">
        <f t="shared" si="24"/>
        <v>0</v>
      </c>
      <c r="AB77" s="89">
        <f t="shared" si="24"/>
        <v>0</v>
      </c>
      <c r="AC77" s="95">
        <f t="shared" si="24"/>
        <v>0</v>
      </c>
      <c r="AD77" s="94">
        <f t="shared" si="25"/>
        <v>0</v>
      </c>
      <c r="AE77" s="89">
        <f t="shared" si="25"/>
        <v>0</v>
      </c>
      <c r="AF77" s="95">
        <f t="shared" si="25"/>
        <v>0</v>
      </c>
      <c r="AG77" s="84"/>
      <c r="AH77" s="118">
        <f t="shared" si="30"/>
        <v>70</v>
      </c>
      <c r="AI77" s="94">
        <f>IF(E$5*$AH77&lt;E$5*E$14,(E$19*E$6*(1+Overview!$B$53)^-(E$5*$AH77)),0)</f>
        <v>0</v>
      </c>
      <c r="AJ77" s="89">
        <f>IF(F$5*$AH77&lt;F$5*F$14,(F$19*F$6*(1+Overview!$B$53)^-(F$5*$AH77)),0)</f>
        <v>0</v>
      </c>
      <c r="AK77" s="95">
        <f>IF(G$5*$AH77&lt;G$5*G$14,(G$19*G$6*(1+Overview!$B$53)^-(G$5*$AH77)),0)</f>
        <v>0</v>
      </c>
      <c r="AL77" s="94">
        <f>IF($AH77=0,0,IF(E$5*$AH77&lt;=E$5*E$14,(E$22*E$6*(1+Overview!$B$53)^-(E$5*$AH77)),0))</f>
        <v>0</v>
      </c>
      <c r="AM77" s="89">
        <f>IF($AH77=0,0,IF(F$5*$AH77&lt;=F$5*F$14,(F$22*F$6*(1+Overview!$B$53)^-(F$5*$AH77)),0))</f>
        <v>0</v>
      </c>
      <c r="AN77" s="95">
        <f>IF($AH77=0,0,IF(G$5*$AH77&lt;=G$5*G$14,(G$22*G$6*(1+Overview!$B$53)^-(G$5*$AH77)),0))</f>
        <v>0</v>
      </c>
      <c r="AO77" s="94">
        <f>IF(E$16&gt;0,IF($AH76*E$14=E$4,-(E$16/E$5)*E$19*E$6*(1+Overview!$B$53)^-E$4+(E$22*E$6*(1+Overview!$B$53)^-E$4),0),0)</f>
        <v>0</v>
      </c>
      <c r="AP77" s="89">
        <f>IF(F$16&gt;0,IF($AH76*F$14=F$4,-(F$16/F$5)*F$19*F$6*(1+Overview!$B$53)^-F$4+(F$22*F$6*(1+Overview!$B$53)^-F$4),0),0)</f>
        <v>0</v>
      </c>
      <c r="AQ77" s="95">
        <f>IF(G$16&gt;0,IF($AH76*G$14=G$4,-(G$16/G$5)*G$19*G$6*(1+Overview!$B$53)^-G$4+(G$22*G$6*(1+Overview!$B$53)^-G$4),0),0)</f>
        <v>0</v>
      </c>
      <c r="AR77" s="84"/>
      <c r="AS77" s="109">
        <f t="shared" si="31"/>
        <v>71</v>
      </c>
      <c r="AT77" s="94">
        <f>IF($AS77&lt;E$4,E$20*E$6*E$11*(1+Overview!$B$53)^-($AS77),0)</f>
        <v>0</v>
      </c>
      <c r="AU77" s="89">
        <f>IF($AS77&lt;F$4,F$20*F$6*F$11*(1+Overview!$B$53)^-($AS77),0)</f>
        <v>0</v>
      </c>
      <c r="AV77" s="89">
        <f>IF($AS77&lt;G$4,G$20*G$6*G$11*(1+Overview!$B$53)^-($AS77),0)</f>
        <v>0</v>
      </c>
      <c r="AW77" s="94">
        <f>IF(E$67=0,IF($AS77&lt;E$4,E$55*(1+Overview!$B$53)^-($AS77),0),IF($AS77&lt;E$4,E$67*(1+Overview!$B$53)^-($AS77),0))</f>
        <v>0</v>
      </c>
      <c r="AX77" s="89">
        <f>IF(F$67=0,IF($AS77&lt;F$4,F$55*(1+Overview!$B$53)^-($AS77),0),IF($AS77&lt;F$4,F$67*(1+Overview!$B$53)^-($AS77),0))</f>
        <v>0</v>
      </c>
      <c r="AY77" s="89">
        <f>IF(G$67=0,IF($AS77&lt;G$4,G$55*(1+Overview!$B$53)^-($AS77),0),IF($AS77&lt;G$4,G$67*(1+Overview!$B$53)^-($AS77),0))</f>
        <v>0</v>
      </c>
      <c r="AZ77" s="89">
        <f>IF(E$68=0,IF($AS77&lt;E$4,E$56*(1+Overview!$B$53)^-($AS77),0),IF($AS77&lt;E$4,E$68*(1+Overview!$B$53)^-($AS77),0))</f>
        <v>0</v>
      </c>
      <c r="BA77" s="89">
        <f>IF(F$68=0,IF($AS77&lt;F$4,F$56*(1+Overview!$B$53)^-($AS77),0),IF($AS77&lt;F$4,F$68*(1+Overview!$B$53)^-($AS77),0))</f>
        <v>0</v>
      </c>
      <c r="BB77" s="89">
        <f>IF(G$68=0,IF($AS77&lt;G$4,G$56*(1+Overview!$B$53)^-($AS77),0),IF($AS77&lt;G$4,G$68*(1+Overview!$B$53)^-($AS77),0))</f>
        <v>0</v>
      </c>
      <c r="BC77" s="89">
        <f>IF(E$69=0,IF($AS77&lt;E$4,E$57*(1+Overview!$B$53)^-($AS77),0),IF($AS77&lt;E$4,E$69*(1+Overview!$B$53)^-($AS77),0))</f>
        <v>0</v>
      </c>
      <c r="BD77" s="89">
        <f>IF(F$69=0,IF($AS77&lt;F$4,F$57*(1+Overview!$B$53)^-($AS77),0),IF($AS77&lt;F$4,F$69*(1+Overview!$B$53)^-($AS77),0))</f>
        <v>0</v>
      </c>
      <c r="BE77" s="95">
        <f>IF(G$69=0,IF($AS77&lt;G$4,G$57*(1+Overview!$B$53)^-($AS77),0),IF($AS77&lt;G$4,G$69*(1+Overview!$B$53)^-($AS77),0))</f>
        <v>0</v>
      </c>
      <c r="BF77" s="1"/>
    </row>
    <row r="78" spans="1:58" x14ac:dyDescent="0.3">
      <c r="R78" s="118">
        <f t="shared" si="28"/>
        <v>71</v>
      </c>
      <c r="S78" s="94">
        <f t="shared" si="22"/>
        <v>0</v>
      </c>
      <c r="T78" s="89">
        <f t="shared" si="22"/>
        <v>0</v>
      </c>
      <c r="U78" s="95">
        <f t="shared" si="22"/>
        <v>0</v>
      </c>
      <c r="V78" s="94">
        <f t="shared" si="23"/>
        <v>0</v>
      </c>
      <c r="W78" s="89">
        <f t="shared" si="23"/>
        <v>0</v>
      </c>
      <c r="X78" s="95">
        <f t="shared" si="23"/>
        <v>0</v>
      </c>
      <c r="Y78" s="89"/>
      <c r="Z78" s="118">
        <f t="shared" si="29"/>
        <v>72</v>
      </c>
      <c r="AA78" s="94">
        <f t="shared" si="24"/>
        <v>0</v>
      </c>
      <c r="AB78" s="89">
        <f t="shared" si="24"/>
        <v>0</v>
      </c>
      <c r="AC78" s="95">
        <f t="shared" si="24"/>
        <v>0</v>
      </c>
      <c r="AD78" s="94">
        <f t="shared" si="25"/>
        <v>0</v>
      </c>
      <c r="AE78" s="89">
        <f t="shared" si="25"/>
        <v>0</v>
      </c>
      <c r="AF78" s="95">
        <f t="shared" si="25"/>
        <v>0</v>
      </c>
      <c r="AG78" s="84"/>
      <c r="AH78" s="118">
        <f t="shared" si="30"/>
        <v>71</v>
      </c>
      <c r="AI78" s="94">
        <f>IF(E$5*$AH78&lt;E$5*E$14,(E$19*E$6*(1+Overview!$B$53)^-(E$5*$AH78)),0)</f>
        <v>0</v>
      </c>
      <c r="AJ78" s="89">
        <f>IF(F$5*$AH78&lt;F$5*F$14,(F$19*F$6*(1+Overview!$B$53)^-(F$5*$AH78)),0)</f>
        <v>0</v>
      </c>
      <c r="AK78" s="95">
        <f>IF(G$5*$AH78&lt;G$5*G$14,(G$19*G$6*(1+Overview!$B$53)^-(G$5*$AH78)),0)</f>
        <v>0</v>
      </c>
      <c r="AL78" s="94">
        <f>IF($AH78=0,0,IF(E$5*$AH78&lt;=E$5*E$14,(E$22*E$6*(1+Overview!$B$53)^-(E$5*$AH78)),0))</f>
        <v>0</v>
      </c>
      <c r="AM78" s="89">
        <f>IF($AH78=0,0,IF(F$5*$AH78&lt;=F$5*F$14,(F$22*F$6*(1+Overview!$B$53)^-(F$5*$AH78)),0))</f>
        <v>0</v>
      </c>
      <c r="AN78" s="95">
        <f>IF($AH78=0,0,IF(G$5*$AH78&lt;=G$5*G$14,(G$22*G$6*(1+Overview!$B$53)^-(G$5*$AH78)),0))</f>
        <v>0</v>
      </c>
      <c r="AO78" s="94">
        <f>IF(E$16&gt;0,IF($AH77*E$14=E$4,-(E$16/E$5)*E$19*E$6*(1+Overview!$B$53)^-E$4+(E$22*E$6*(1+Overview!$B$53)^-E$4),0),0)</f>
        <v>0</v>
      </c>
      <c r="AP78" s="89">
        <f>IF(F$16&gt;0,IF($AH77*F$14=F$4,-(F$16/F$5)*F$19*F$6*(1+Overview!$B$53)^-F$4+(F$22*F$6*(1+Overview!$B$53)^-F$4),0),0)</f>
        <v>0</v>
      </c>
      <c r="AQ78" s="95">
        <f>IF(G$16&gt;0,IF($AH77*G$14=G$4,-(G$16/G$5)*G$19*G$6*(1+Overview!$B$53)^-G$4+(G$22*G$6*(1+Overview!$B$53)^-G$4),0),0)</f>
        <v>0</v>
      </c>
      <c r="AR78" s="84"/>
      <c r="AS78" s="109">
        <f t="shared" si="31"/>
        <v>72</v>
      </c>
      <c r="AT78" s="94">
        <f>IF($AS78&lt;E$4,E$20*E$6*E$11*(1+Overview!$B$53)^-($AS78),0)</f>
        <v>0</v>
      </c>
      <c r="AU78" s="89">
        <f>IF($AS78&lt;F$4,F$20*F$6*F$11*(1+Overview!$B$53)^-($AS78),0)</f>
        <v>0</v>
      </c>
      <c r="AV78" s="89">
        <f>IF($AS78&lt;G$4,G$20*G$6*G$11*(1+Overview!$B$53)^-($AS78),0)</f>
        <v>0</v>
      </c>
      <c r="AW78" s="94">
        <f>IF(E$67=0,IF($AS78&lt;E$4,E$55*(1+Overview!$B$53)^-($AS78),0),IF($AS78&lt;E$4,E$67*(1+Overview!$B$53)^-($AS78),0))</f>
        <v>0</v>
      </c>
      <c r="AX78" s="89">
        <f>IF(F$67=0,IF($AS78&lt;F$4,F$55*(1+Overview!$B$53)^-($AS78),0),IF($AS78&lt;F$4,F$67*(1+Overview!$B$53)^-($AS78),0))</f>
        <v>0</v>
      </c>
      <c r="AY78" s="89">
        <f>IF(G$67=0,IF($AS78&lt;G$4,G$55*(1+Overview!$B$53)^-($AS78),0),IF($AS78&lt;G$4,G$67*(1+Overview!$B$53)^-($AS78),0))</f>
        <v>0</v>
      </c>
      <c r="AZ78" s="89">
        <f>IF(E$68=0,IF($AS78&lt;E$4,E$56*(1+Overview!$B$53)^-($AS78),0),IF($AS78&lt;E$4,E$68*(1+Overview!$B$53)^-($AS78),0))</f>
        <v>0</v>
      </c>
      <c r="BA78" s="89">
        <f>IF(F$68=0,IF($AS78&lt;F$4,F$56*(1+Overview!$B$53)^-($AS78),0),IF($AS78&lt;F$4,F$68*(1+Overview!$B$53)^-($AS78),0))</f>
        <v>0</v>
      </c>
      <c r="BB78" s="89">
        <f>IF(G$68=0,IF($AS78&lt;G$4,G$56*(1+Overview!$B$53)^-($AS78),0),IF($AS78&lt;G$4,G$68*(1+Overview!$B$53)^-($AS78),0))</f>
        <v>0</v>
      </c>
      <c r="BC78" s="89">
        <f>IF(E$69=0,IF($AS78&lt;E$4,E$57*(1+Overview!$B$53)^-($AS78),0),IF($AS78&lt;E$4,E$69*(1+Overview!$B$53)^-($AS78),0))</f>
        <v>0</v>
      </c>
      <c r="BD78" s="89">
        <f>IF(F$69=0,IF($AS78&lt;F$4,F$57*(1+Overview!$B$53)^-($AS78),0),IF($AS78&lt;F$4,F$69*(1+Overview!$B$53)^-($AS78),0))</f>
        <v>0</v>
      </c>
      <c r="BE78" s="95">
        <f>IF(G$69=0,IF($AS78&lt;G$4,G$57*(1+Overview!$B$53)^-($AS78),0),IF($AS78&lt;G$4,G$69*(1+Overview!$B$53)^-($AS78),0))</f>
        <v>0</v>
      </c>
      <c r="BF78" s="1"/>
    </row>
    <row r="79" spans="1:58" x14ac:dyDescent="0.3">
      <c r="R79" s="118">
        <f t="shared" si="28"/>
        <v>72</v>
      </c>
      <c r="S79" s="94">
        <f t="shared" si="22"/>
        <v>0</v>
      </c>
      <c r="T79" s="89">
        <f t="shared" si="22"/>
        <v>0</v>
      </c>
      <c r="U79" s="95">
        <f t="shared" si="22"/>
        <v>0</v>
      </c>
      <c r="V79" s="94">
        <f t="shared" si="23"/>
        <v>0</v>
      </c>
      <c r="W79" s="89">
        <f t="shared" si="23"/>
        <v>0</v>
      </c>
      <c r="X79" s="95">
        <f t="shared" si="23"/>
        <v>0</v>
      </c>
      <c r="Y79" s="89"/>
      <c r="Z79" s="118">
        <f t="shared" si="29"/>
        <v>73</v>
      </c>
      <c r="AA79" s="94">
        <f t="shared" si="24"/>
        <v>0</v>
      </c>
      <c r="AB79" s="89">
        <f t="shared" si="24"/>
        <v>0</v>
      </c>
      <c r="AC79" s="95">
        <f t="shared" si="24"/>
        <v>0</v>
      </c>
      <c r="AD79" s="94">
        <f t="shared" si="25"/>
        <v>0</v>
      </c>
      <c r="AE79" s="89">
        <f t="shared" si="25"/>
        <v>0</v>
      </c>
      <c r="AF79" s="95">
        <f t="shared" si="25"/>
        <v>0</v>
      </c>
      <c r="AG79" s="84"/>
      <c r="AH79" s="118">
        <f t="shared" si="30"/>
        <v>72</v>
      </c>
      <c r="AI79" s="94">
        <f>IF(E$5*$AH79&lt;E$5*E$14,(E$19*E$6*(1+Overview!$B$53)^-(E$5*$AH79)),0)</f>
        <v>0</v>
      </c>
      <c r="AJ79" s="89">
        <f>IF(F$5*$AH79&lt;F$5*F$14,(F$19*F$6*(1+Overview!$B$53)^-(F$5*$AH79)),0)</f>
        <v>0</v>
      </c>
      <c r="AK79" s="95">
        <f>IF(G$5*$AH79&lt;G$5*G$14,(G$19*G$6*(1+Overview!$B$53)^-(G$5*$AH79)),0)</f>
        <v>0</v>
      </c>
      <c r="AL79" s="94">
        <f>IF($AH79=0,0,IF(E$5*$AH79&lt;=E$5*E$14,(E$22*E$6*(1+Overview!$B$53)^-(E$5*$AH79)),0))</f>
        <v>0</v>
      </c>
      <c r="AM79" s="89">
        <f>IF($AH79=0,0,IF(F$5*$AH79&lt;=F$5*F$14,(F$22*F$6*(1+Overview!$B$53)^-(F$5*$AH79)),0))</f>
        <v>0</v>
      </c>
      <c r="AN79" s="95">
        <f>IF($AH79=0,0,IF(G$5*$AH79&lt;=G$5*G$14,(G$22*G$6*(1+Overview!$B$53)^-(G$5*$AH79)),0))</f>
        <v>0</v>
      </c>
      <c r="AO79" s="94">
        <f>IF(E$16&gt;0,IF($AH78*E$14=E$4,-(E$16/E$5)*E$19*E$6*(1+Overview!$B$53)^-E$4+(E$22*E$6*(1+Overview!$B$53)^-E$4),0),0)</f>
        <v>0</v>
      </c>
      <c r="AP79" s="89">
        <f>IF(F$16&gt;0,IF($AH78*F$14=F$4,-(F$16/F$5)*F$19*F$6*(1+Overview!$B$53)^-F$4+(F$22*F$6*(1+Overview!$B$53)^-F$4),0),0)</f>
        <v>0</v>
      </c>
      <c r="AQ79" s="95">
        <f>IF(G$16&gt;0,IF($AH78*G$14=G$4,-(G$16/G$5)*G$19*G$6*(1+Overview!$B$53)^-G$4+(G$22*G$6*(1+Overview!$B$53)^-G$4),0),0)</f>
        <v>0</v>
      </c>
      <c r="AR79" s="84"/>
      <c r="AS79" s="109">
        <f t="shared" si="31"/>
        <v>73</v>
      </c>
      <c r="AT79" s="94">
        <f>IF($AS79&lt;E$4,E$20*E$6*E$11*(1+Overview!$B$53)^-($AS79),0)</f>
        <v>0</v>
      </c>
      <c r="AU79" s="89">
        <f>IF($AS79&lt;F$4,F$20*F$6*F$11*(1+Overview!$B$53)^-($AS79),0)</f>
        <v>0</v>
      </c>
      <c r="AV79" s="89">
        <f>IF($AS79&lt;G$4,G$20*G$6*G$11*(1+Overview!$B$53)^-($AS79),0)</f>
        <v>0</v>
      </c>
      <c r="AW79" s="94">
        <f>IF(E$67=0,IF($AS79&lt;E$4,E$55*(1+Overview!$B$53)^-($AS79),0),IF($AS79&lt;E$4,E$67*(1+Overview!$B$53)^-($AS79),0))</f>
        <v>0</v>
      </c>
      <c r="AX79" s="89">
        <f>IF(F$67=0,IF($AS79&lt;F$4,F$55*(1+Overview!$B$53)^-($AS79),0),IF($AS79&lt;F$4,F$67*(1+Overview!$B$53)^-($AS79),0))</f>
        <v>0</v>
      </c>
      <c r="AY79" s="89">
        <f>IF(G$67=0,IF($AS79&lt;G$4,G$55*(1+Overview!$B$53)^-($AS79),0),IF($AS79&lt;G$4,G$67*(1+Overview!$B$53)^-($AS79),0))</f>
        <v>0</v>
      </c>
      <c r="AZ79" s="89">
        <f>IF(E$68=0,IF($AS79&lt;E$4,E$56*(1+Overview!$B$53)^-($AS79),0),IF($AS79&lt;E$4,E$68*(1+Overview!$B$53)^-($AS79),0))</f>
        <v>0</v>
      </c>
      <c r="BA79" s="89">
        <f>IF(F$68=0,IF($AS79&lt;F$4,F$56*(1+Overview!$B$53)^-($AS79),0),IF($AS79&lt;F$4,F$68*(1+Overview!$B$53)^-($AS79),0))</f>
        <v>0</v>
      </c>
      <c r="BB79" s="89">
        <f>IF(G$68=0,IF($AS79&lt;G$4,G$56*(1+Overview!$B$53)^-($AS79),0),IF($AS79&lt;G$4,G$68*(1+Overview!$B$53)^-($AS79),0))</f>
        <v>0</v>
      </c>
      <c r="BC79" s="89">
        <f>IF(E$69=0,IF($AS79&lt;E$4,E$57*(1+Overview!$B$53)^-($AS79),0),IF($AS79&lt;E$4,E$69*(1+Overview!$B$53)^-($AS79),0))</f>
        <v>0</v>
      </c>
      <c r="BD79" s="89">
        <f>IF(F$69=0,IF($AS79&lt;F$4,F$57*(1+Overview!$B$53)^-($AS79),0),IF($AS79&lt;F$4,F$69*(1+Overview!$B$53)^-($AS79),0))</f>
        <v>0</v>
      </c>
      <c r="BE79" s="95">
        <f>IF(G$69=0,IF($AS79&lt;G$4,G$57*(1+Overview!$B$53)^-($AS79),0),IF($AS79&lt;G$4,G$69*(1+Overview!$B$53)^-($AS79),0))</f>
        <v>0</v>
      </c>
      <c r="BF79" s="1"/>
    </row>
    <row r="80" spans="1:58" x14ac:dyDescent="0.3">
      <c r="R80" s="118">
        <f t="shared" si="28"/>
        <v>73</v>
      </c>
      <c r="S80" s="94">
        <f t="shared" si="22"/>
        <v>0</v>
      </c>
      <c r="T80" s="89">
        <f t="shared" si="22"/>
        <v>0</v>
      </c>
      <c r="U80" s="95">
        <f t="shared" si="22"/>
        <v>0</v>
      </c>
      <c r="V80" s="94">
        <f t="shared" si="23"/>
        <v>0</v>
      </c>
      <c r="W80" s="89">
        <f t="shared" si="23"/>
        <v>0</v>
      </c>
      <c r="X80" s="95">
        <f t="shared" si="23"/>
        <v>0</v>
      </c>
      <c r="Y80" s="89"/>
      <c r="Z80" s="118">
        <f t="shared" si="29"/>
        <v>74</v>
      </c>
      <c r="AA80" s="94">
        <f t="shared" si="24"/>
        <v>0</v>
      </c>
      <c r="AB80" s="89">
        <f t="shared" si="24"/>
        <v>0</v>
      </c>
      <c r="AC80" s="95">
        <f t="shared" si="24"/>
        <v>0</v>
      </c>
      <c r="AD80" s="94">
        <f t="shared" si="25"/>
        <v>0</v>
      </c>
      <c r="AE80" s="89">
        <f t="shared" si="25"/>
        <v>0</v>
      </c>
      <c r="AF80" s="95">
        <f t="shared" si="25"/>
        <v>0</v>
      </c>
      <c r="AG80" s="84"/>
      <c r="AH80" s="118">
        <f t="shared" si="30"/>
        <v>73</v>
      </c>
      <c r="AI80" s="94">
        <f>IF(E$5*$AH80&lt;E$5*E$14,(E$19*E$6*(1+Overview!$B$53)^-(E$5*$AH80)),0)</f>
        <v>0</v>
      </c>
      <c r="AJ80" s="89">
        <f>IF(F$5*$AH80&lt;F$5*F$14,(F$19*F$6*(1+Overview!$B$53)^-(F$5*$AH80)),0)</f>
        <v>0</v>
      </c>
      <c r="AK80" s="95">
        <f>IF(G$5*$AH80&lt;G$5*G$14,(G$19*G$6*(1+Overview!$B$53)^-(G$5*$AH80)),0)</f>
        <v>0</v>
      </c>
      <c r="AL80" s="94">
        <f>IF($AH80=0,0,IF(E$5*$AH80&lt;=E$5*E$14,(E$22*E$6*(1+Overview!$B$53)^-(E$5*$AH80)),0))</f>
        <v>0</v>
      </c>
      <c r="AM80" s="89">
        <f>IF($AH80=0,0,IF(F$5*$AH80&lt;=F$5*F$14,(F$22*F$6*(1+Overview!$B$53)^-(F$5*$AH80)),0))</f>
        <v>0</v>
      </c>
      <c r="AN80" s="95">
        <f>IF($AH80=0,0,IF(G$5*$AH80&lt;=G$5*G$14,(G$22*G$6*(1+Overview!$B$53)^-(G$5*$AH80)),0))</f>
        <v>0</v>
      </c>
      <c r="AO80" s="94">
        <f>IF(E$16&gt;0,IF($AH79*E$14=E$4,-(E$16/E$5)*E$19*E$6*(1+Overview!$B$53)^-E$4+(E$22*E$6*(1+Overview!$B$53)^-E$4),0),0)</f>
        <v>0</v>
      </c>
      <c r="AP80" s="89">
        <f>IF(F$16&gt;0,IF($AH79*F$14=F$4,-(F$16/F$5)*F$19*F$6*(1+Overview!$B$53)^-F$4+(F$22*F$6*(1+Overview!$B$53)^-F$4),0),0)</f>
        <v>0</v>
      </c>
      <c r="AQ80" s="95">
        <f>IF(G$16&gt;0,IF($AH79*G$14=G$4,-(G$16/G$5)*G$19*G$6*(1+Overview!$B$53)^-G$4+(G$22*G$6*(1+Overview!$B$53)^-G$4),0),0)</f>
        <v>0</v>
      </c>
      <c r="AR80" s="84"/>
      <c r="AS80" s="109">
        <f t="shared" si="31"/>
        <v>74</v>
      </c>
      <c r="AT80" s="94">
        <f>IF($AS80&lt;E$4,E$20*E$6*E$11*(1+Overview!$B$53)^-($AS80),0)</f>
        <v>0</v>
      </c>
      <c r="AU80" s="89">
        <f>IF($AS80&lt;F$4,F$20*F$6*F$11*(1+Overview!$B$53)^-($AS80),0)</f>
        <v>0</v>
      </c>
      <c r="AV80" s="89">
        <f>IF($AS80&lt;G$4,G$20*G$6*G$11*(1+Overview!$B$53)^-($AS80),0)</f>
        <v>0</v>
      </c>
      <c r="AW80" s="94">
        <f>IF(E$67=0,IF($AS80&lt;E$4,E$55*(1+Overview!$B$53)^-($AS80),0),IF($AS80&lt;E$4,E$67*(1+Overview!$B$53)^-($AS80),0))</f>
        <v>0</v>
      </c>
      <c r="AX80" s="89">
        <f>IF(F$67=0,IF($AS80&lt;F$4,F$55*(1+Overview!$B$53)^-($AS80),0),IF($AS80&lt;F$4,F$67*(1+Overview!$B$53)^-($AS80),0))</f>
        <v>0</v>
      </c>
      <c r="AY80" s="89">
        <f>IF(G$67=0,IF($AS80&lt;G$4,G$55*(1+Overview!$B$53)^-($AS80),0),IF($AS80&lt;G$4,G$67*(1+Overview!$B$53)^-($AS80),0))</f>
        <v>0</v>
      </c>
      <c r="AZ80" s="89">
        <f>IF(E$68=0,IF($AS80&lt;E$4,E$56*(1+Overview!$B$53)^-($AS80),0),IF($AS80&lt;E$4,E$68*(1+Overview!$B$53)^-($AS80),0))</f>
        <v>0</v>
      </c>
      <c r="BA80" s="89">
        <f>IF(F$68=0,IF($AS80&lt;F$4,F$56*(1+Overview!$B$53)^-($AS80),0),IF($AS80&lt;F$4,F$68*(1+Overview!$B$53)^-($AS80),0))</f>
        <v>0</v>
      </c>
      <c r="BB80" s="89">
        <f>IF(G$68=0,IF($AS80&lt;G$4,G$56*(1+Overview!$B$53)^-($AS80),0),IF($AS80&lt;G$4,G$68*(1+Overview!$B$53)^-($AS80),0))</f>
        <v>0</v>
      </c>
      <c r="BC80" s="89">
        <f>IF(E$69=0,IF($AS80&lt;E$4,E$57*(1+Overview!$B$53)^-($AS80),0),IF($AS80&lt;E$4,E$69*(1+Overview!$B$53)^-($AS80),0))</f>
        <v>0</v>
      </c>
      <c r="BD80" s="89">
        <f>IF(F$69=0,IF($AS80&lt;F$4,F$57*(1+Overview!$B$53)^-($AS80),0),IF($AS80&lt;F$4,F$69*(1+Overview!$B$53)^-($AS80),0))</f>
        <v>0</v>
      </c>
      <c r="BE80" s="95">
        <f>IF(G$69=0,IF($AS80&lt;G$4,G$57*(1+Overview!$B$53)^-($AS80),0),IF($AS80&lt;G$4,G$69*(1+Overview!$B$53)^-($AS80),0))</f>
        <v>0</v>
      </c>
      <c r="BF80" s="1"/>
    </row>
    <row r="81" spans="18:58" x14ac:dyDescent="0.3">
      <c r="R81" s="118">
        <f t="shared" si="28"/>
        <v>74</v>
      </c>
      <c r="S81" s="94">
        <f t="shared" si="22"/>
        <v>0</v>
      </c>
      <c r="T81" s="89">
        <f t="shared" si="22"/>
        <v>0</v>
      </c>
      <c r="U81" s="95">
        <f t="shared" si="22"/>
        <v>0</v>
      </c>
      <c r="V81" s="94">
        <f t="shared" si="23"/>
        <v>0</v>
      </c>
      <c r="W81" s="89">
        <f t="shared" si="23"/>
        <v>0</v>
      </c>
      <c r="X81" s="95">
        <f t="shared" si="23"/>
        <v>0</v>
      </c>
      <c r="Y81" s="89"/>
      <c r="Z81" s="118">
        <f t="shared" si="29"/>
        <v>75</v>
      </c>
      <c r="AA81" s="94">
        <f t="shared" si="24"/>
        <v>0</v>
      </c>
      <c r="AB81" s="89">
        <f t="shared" si="24"/>
        <v>0</v>
      </c>
      <c r="AC81" s="95">
        <f t="shared" si="24"/>
        <v>0</v>
      </c>
      <c r="AD81" s="94">
        <f t="shared" si="25"/>
        <v>0</v>
      </c>
      <c r="AE81" s="89">
        <f t="shared" si="25"/>
        <v>0</v>
      </c>
      <c r="AF81" s="95">
        <f t="shared" si="25"/>
        <v>0</v>
      </c>
      <c r="AG81" s="84"/>
      <c r="AH81" s="118">
        <f t="shared" si="30"/>
        <v>74</v>
      </c>
      <c r="AI81" s="94">
        <f>IF(E$5*$AH81&lt;E$5*E$14,(E$19*E$6*(1+Overview!$B$53)^-(E$5*$AH81)),0)</f>
        <v>0</v>
      </c>
      <c r="AJ81" s="89">
        <f>IF(F$5*$AH81&lt;F$5*F$14,(F$19*F$6*(1+Overview!$B$53)^-(F$5*$AH81)),0)</f>
        <v>0</v>
      </c>
      <c r="AK81" s="95">
        <f>IF(G$5*$AH81&lt;G$5*G$14,(G$19*G$6*(1+Overview!$B$53)^-(G$5*$AH81)),0)</f>
        <v>0</v>
      </c>
      <c r="AL81" s="94">
        <f>IF($AH81=0,0,IF(E$5*$AH81&lt;=E$5*E$14,(E$22*E$6*(1+Overview!$B$53)^-(E$5*$AH81)),0))</f>
        <v>0</v>
      </c>
      <c r="AM81" s="89">
        <f>IF($AH81=0,0,IF(F$5*$AH81&lt;=F$5*F$14,(F$22*F$6*(1+Overview!$B$53)^-(F$5*$AH81)),0))</f>
        <v>0</v>
      </c>
      <c r="AN81" s="95">
        <f>IF($AH81=0,0,IF(G$5*$AH81&lt;=G$5*G$14,(G$22*G$6*(1+Overview!$B$53)^-(G$5*$AH81)),0))</f>
        <v>0</v>
      </c>
      <c r="AO81" s="94">
        <f>IF(E$16&gt;0,IF($AH80*E$14=E$4,-(E$16/E$5)*E$19*E$6*(1+Overview!$B$53)^-E$4+(E$22*E$6*(1+Overview!$B$53)^-E$4),0),0)</f>
        <v>0</v>
      </c>
      <c r="AP81" s="89">
        <f>IF(F$16&gt;0,IF($AH80*F$14=F$4,-(F$16/F$5)*F$19*F$6*(1+Overview!$B$53)^-F$4+(F$22*F$6*(1+Overview!$B$53)^-F$4),0),0)</f>
        <v>0</v>
      </c>
      <c r="AQ81" s="95">
        <f>IF(G$16&gt;0,IF($AH80*G$14=G$4,-(G$16/G$5)*G$19*G$6*(1+Overview!$B$53)^-G$4+(G$22*G$6*(1+Overview!$B$53)^-G$4),0),0)</f>
        <v>0</v>
      </c>
      <c r="AR81" s="84"/>
      <c r="AS81" s="109">
        <f t="shared" si="31"/>
        <v>75</v>
      </c>
      <c r="AT81" s="94">
        <f>IF($AS81&lt;E$4,E$20*E$6*E$11*(1+Overview!$B$53)^-($AS81),0)</f>
        <v>0</v>
      </c>
      <c r="AU81" s="89">
        <f>IF($AS81&lt;F$4,F$20*F$6*F$11*(1+Overview!$B$53)^-($AS81),0)</f>
        <v>0</v>
      </c>
      <c r="AV81" s="89">
        <f>IF($AS81&lt;G$4,G$20*G$6*G$11*(1+Overview!$B$53)^-($AS81),0)</f>
        <v>0</v>
      </c>
      <c r="AW81" s="94">
        <f>IF(E$67=0,IF($AS81&lt;E$4,E$55*(1+Overview!$B$53)^-($AS81),0),IF($AS81&lt;E$4,E$67*(1+Overview!$B$53)^-($AS81),0))</f>
        <v>0</v>
      </c>
      <c r="AX81" s="89">
        <f>IF(F$67=0,IF($AS81&lt;F$4,F$55*(1+Overview!$B$53)^-($AS81),0),IF($AS81&lt;F$4,F$67*(1+Overview!$B$53)^-($AS81),0))</f>
        <v>0</v>
      </c>
      <c r="AY81" s="89">
        <f>IF(G$67=0,IF($AS81&lt;G$4,G$55*(1+Overview!$B$53)^-($AS81),0),IF($AS81&lt;G$4,G$67*(1+Overview!$B$53)^-($AS81),0))</f>
        <v>0</v>
      </c>
      <c r="AZ81" s="89">
        <f>IF(E$68=0,IF($AS81&lt;E$4,E$56*(1+Overview!$B$53)^-($AS81),0),IF($AS81&lt;E$4,E$68*(1+Overview!$B$53)^-($AS81),0))</f>
        <v>0</v>
      </c>
      <c r="BA81" s="89">
        <f>IF(F$68=0,IF($AS81&lt;F$4,F$56*(1+Overview!$B$53)^-($AS81),0),IF($AS81&lt;F$4,F$68*(1+Overview!$B$53)^-($AS81),0))</f>
        <v>0</v>
      </c>
      <c r="BB81" s="89">
        <f>IF(G$68=0,IF($AS81&lt;G$4,G$56*(1+Overview!$B$53)^-($AS81),0),IF($AS81&lt;G$4,G$68*(1+Overview!$B$53)^-($AS81),0))</f>
        <v>0</v>
      </c>
      <c r="BC81" s="89">
        <f>IF(E$69=0,IF($AS81&lt;E$4,E$57*(1+Overview!$B$53)^-($AS81),0),IF($AS81&lt;E$4,E$69*(1+Overview!$B$53)^-($AS81),0))</f>
        <v>0</v>
      </c>
      <c r="BD81" s="89">
        <f>IF(F$69=0,IF($AS81&lt;F$4,F$57*(1+Overview!$B$53)^-($AS81),0),IF($AS81&lt;F$4,F$69*(1+Overview!$B$53)^-($AS81),0))</f>
        <v>0</v>
      </c>
      <c r="BE81" s="95">
        <f>IF(G$69=0,IF($AS81&lt;G$4,G$57*(1+Overview!$B$53)^-($AS81),0),IF($AS81&lt;G$4,G$69*(1+Overview!$B$53)^-($AS81),0))</f>
        <v>0</v>
      </c>
      <c r="BF81" s="1"/>
    </row>
    <row r="82" spans="18:58" x14ac:dyDescent="0.3">
      <c r="R82" s="118">
        <f t="shared" si="28"/>
        <v>75</v>
      </c>
      <c r="S82" s="94">
        <f t="shared" si="22"/>
        <v>0</v>
      </c>
      <c r="T82" s="89">
        <f t="shared" si="22"/>
        <v>0</v>
      </c>
      <c r="U82" s="95">
        <f t="shared" si="22"/>
        <v>0</v>
      </c>
      <c r="V82" s="94">
        <f t="shared" si="23"/>
        <v>0</v>
      </c>
      <c r="W82" s="89">
        <f t="shared" si="23"/>
        <v>0</v>
      </c>
      <c r="X82" s="95">
        <f t="shared" si="23"/>
        <v>0</v>
      </c>
      <c r="Y82" s="89"/>
      <c r="Z82" s="118">
        <f t="shared" si="29"/>
        <v>76</v>
      </c>
      <c r="AA82" s="94">
        <f t="shared" si="24"/>
        <v>0</v>
      </c>
      <c r="AB82" s="89">
        <f t="shared" si="24"/>
        <v>0</v>
      </c>
      <c r="AC82" s="95">
        <f t="shared" si="24"/>
        <v>0</v>
      </c>
      <c r="AD82" s="94">
        <f t="shared" si="25"/>
        <v>0</v>
      </c>
      <c r="AE82" s="89">
        <f t="shared" si="25"/>
        <v>0</v>
      </c>
      <c r="AF82" s="95">
        <f t="shared" si="25"/>
        <v>0</v>
      </c>
      <c r="AG82" s="84"/>
      <c r="AH82" s="118">
        <f t="shared" si="30"/>
        <v>75</v>
      </c>
      <c r="AI82" s="94">
        <f>IF(E$5*$AH82&lt;E$5*E$14,(E$19*E$6*(1+Overview!$B$53)^-(E$5*$AH82)),0)</f>
        <v>0</v>
      </c>
      <c r="AJ82" s="89">
        <f>IF(F$5*$AH82&lt;F$5*F$14,(F$19*F$6*(1+Overview!$B$53)^-(F$5*$AH82)),0)</f>
        <v>0</v>
      </c>
      <c r="AK82" s="95">
        <f>IF(G$5*$AH82&lt;G$5*G$14,(G$19*G$6*(1+Overview!$B$53)^-(G$5*$AH82)),0)</f>
        <v>0</v>
      </c>
      <c r="AL82" s="94">
        <f>IF($AH82=0,0,IF(E$5*$AH82&lt;=E$5*E$14,(E$22*E$6*(1+Overview!$B$53)^-(E$5*$AH82)),0))</f>
        <v>0</v>
      </c>
      <c r="AM82" s="89">
        <f>IF($AH82=0,0,IF(F$5*$AH82&lt;=F$5*F$14,(F$22*F$6*(1+Overview!$B$53)^-(F$5*$AH82)),0))</f>
        <v>0</v>
      </c>
      <c r="AN82" s="95">
        <f>IF($AH82=0,0,IF(G$5*$AH82&lt;=G$5*G$14,(G$22*G$6*(1+Overview!$B$53)^-(G$5*$AH82)),0))</f>
        <v>0</v>
      </c>
      <c r="AO82" s="94">
        <f>IF(E$16&gt;0,IF($AH81*E$14=E$4,-(E$16/E$5)*E$19*E$6*(1+Overview!$B$53)^-E$4+(E$22*E$6*(1+Overview!$B$53)^-E$4),0),0)</f>
        <v>0</v>
      </c>
      <c r="AP82" s="89">
        <f>IF(F$16&gt;0,IF($AH81*F$14=F$4,-(F$16/F$5)*F$19*F$6*(1+Overview!$B$53)^-F$4+(F$22*F$6*(1+Overview!$B$53)^-F$4),0),0)</f>
        <v>0</v>
      </c>
      <c r="AQ82" s="95">
        <f>IF(G$16&gt;0,IF($AH81*G$14=G$4,-(G$16/G$5)*G$19*G$6*(1+Overview!$B$53)^-G$4+(G$22*G$6*(1+Overview!$B$53)^-G$4),0),0)</f>
        <v>0</v>
      </c>
      <c r="AR82" s="84"/>
      <c r="AS82" s="109">
        <f t="shared" si="31"/>
        <v>76</v>
      </c>
      <c r="AT82" s="94">
        <f>IF($AS82&lt;E$4,E$20*E$6*E$11*(1+Overview!$B$53)^-($AS82),0)</f>
        <v>0</v>
      </c>
      <c r="AU82" s="89">
        <f>IF($AS82&lt;F$4,F$20*F$6*F$11*(1+Overview!$B$53)^-($AS82),0)</f>
        <v>0</v>
      </c>
      <c r="AV82" s="89">
        <f>IF($AS82&lt;G$4,G$20*G$6*G$11*(1+Overview!$B$53)^-($AS82),0)</f>
        <v>0</v>
      </c>
      <c r="AW82" s="94">
        <f>IF(E$67=0,IF($AS82&lt;E$4,E$55*(1+Overview!$B$53)^-($AS82),0),IF($AS82&lt;E$4,E$67*(1+Overview!$B$53)^-($AS82),0))</f>
        <v>0</v>
      </c>
      <c r="AX82" s="89">
        <f>IF(F$67=0,IF($AS82&lt;F$4,F$55*(1+Overview!$B$53)^-($AS82),0),IF($AS82&lt;F$4,F$67*(1+Overview!$B$53)^-($AS82),0))</f>
        <v>0</v>
      </c>
      <c r="AY82" s="89">
        <f>IF(G$67=0,IF($AS82&lt;G$4,G$55*(1+Overview!$B$53)^-($AS82),0),IF($AS82&lt;G$4,G$67*(1+Overview!$B$53)^-($AS82),0))</f>
        <v>0</v>
      </c>
      <c r="AZ82" s="89">
        <f>IF(E$68=0,IF($AS82&lt;E$4,E$56*(1+Overview!$B$53)^-($AS82),0),IF($AS82&lt;E$4,E$68*(1+Overview!$B$53)^-($AS82),0))</f>
        <v>0</v>
      </c>
      <c r="BA82" s="89">
        <f>IF(F$68=0,IF($AS82&lt;F$4,F$56*(1+Overview!$B$53)^-($AS82),0),IF($AS82&lt;F$4,F$68*(1+Overview!$B$53)^-($AS82),0))</f>
        <v>0</v>
      </c>
      <c r="BB82" s="89">
        <f>IF(G$68=0,IF($AS82&lt;G$4,G$56*(1+Overview!$B$53)^-($AS82),0),IF($AS82&lt;G$4,G$68*(1+Overview!$B$53)^-($AS82),0))</f>
        <v>0</v>
      </c>
      <c r="BC82" s="89">
        <f>IF(E$69=0,IF($AS82&lt;E$4,E$57*(1+Overview!$B$53)^-($AS82),0),IF($AS82&lt;E$4,E$69*(1+Overview!$B$53)^-($AS82),0))</f>
        <v>0</v>
      </c>
      <c r="BD82" s="89">
        <f>IF(F$69=0,IF($AS82&lt;F$4,F$57*(1+Overview!$B$53)^-($AS82),0),IF($AS82&lt;F$4,F$69*(1+Overview!$B$53)^-($AS82),0))</f>
        <v>0</v>
      </c>
      <c r="BE82" s="95">
        <f>IF(G$69=0,IF($AS82&lt;G$4,G$57*(1+Overview!$B$53)^-($AS82),0),IF($AS82&lt;G$4,G$69*(1+Overview!$B$53)^-($AS82),0))</f>
        <v>0</v>
      </c>
      <c r="BF82" s="1"/>
    </row>
    <row r="83" spans="18:58" x14ac:dyDescent="0.3">
      <c r="R83" s="118">
        <f t="shared" si="28"/>
        <v>76</v>
      </c>
      <c r="S83" s="94">
        <f t="shared" si="22"/>
        <v>0</v>
      </c>
      <c r="T83" s="89">
        <f t="shared" si="22"/>
        <v>0</v>
      </c>
      <c r="U83" s="95">
        <f t="shared" si="22"/>
        <v>0</v>
      </c>
      <c r="V83" s="94">
        <f t="shared" si="23"/>
        <v>0</v>
      </c>
      <c r="W83" s="89">
        <f t="shared" si="23"/>
        <v>0</v>
      </c>
      <c r="X83" s="95">
        <f t="shared" si="23"/>
        <v>0</v>
      </c>
      <c r="Y83" s="89"/>
      <c r="Z83" s="118">
        <f t="shared" si="29"/>
        <v>77</v>
      </c>
      <c r="AA83" s="94">
        <f t="shared" si="24"/>
        <v>0</v>
      </c>
      <c r="AB83" s="89">
        <f t="shared" si="24"/>
        <v>0</v>
      </c>
      <c r="AC83" s="95">
        <f t="shared" si="24"/>
        <v>0</v>
      </c>
      <c r="AD83" s="94">
        <f t="shared" si="25"/>
        <v>0</v>
      </c>
      <c r="AE83" s="89">
        <f t="shared" si="25"/>
        <v>0</v>
      </c>
      <c r="AF83" s="95">
        <f t="shared" si="25"/>
        <v>0</v>
      </c>
      <c r="AG83" s="84"/>
      <c r="AH83" s="118">
        <f t="shared" si="30"/>
        <v>76</v>
      </c>
      <c r="AI83" s="94">
        <f>IF(E$5*$AH83&lt;E$5*E$14,(E$19*E$6*(1+Overview!$B$53)^-(E$5*$AH83)),0)</f>
        <v>0</v>
      </c>
      <c r="AJ83" s="89">
        <f>IF(F$5*$AH83&lt;F$5*F$14,(F$19*F$6*(1+Overview!$B$53)^-(F$5*$AH83)),0)</f>
        <v>0</v>
      </c>
      <c r="AK83" s="95">
        <f>IF(G$5*$AH83&lt;G$5*G$14,(G$19*G$6*(1+Overview!$B$53)^-(G$5*$AH83)),0)</f>
        <v>0</v>
      </c>
      <c r="AL83" s="94">
        <f>IF($AH83=0,0,IF(E$5*$AH83&lt;=E$5*E$14,(E$22*E$6*(1+Overview!$B$53)^-(E$5*$AH83)),0))</f>
        <v>0</v>
      </c>
      <c r="AM83" s="89">
        <f>IF($AH83=0,0,IF(F$5*$AH83&lt;=F$5*F$14,(F$22*F$6*(1+Overview!$B$53)^-(F$5*$AH83)),0))</f>
        <v>0</v>
      </c>
      <c r="AN83" s="95">
        <f>IF($AH83=0,0,IF(G$5*$AH83&lt;=G$5*G$14,(G$22*G$6*(1+Overview!$B$53)^-(G$5*$AH83)),0))</f>
        <v>0</v>
      </c>
      <c r="AO83" s="94">
        <f>IF(E$16&gt;0,IF($AH82*E$14=E$4,-(E$16/E$5)*E$19*E$6*(1+Overview!$B$53)^-E$4+(E$22*E$6*(1+Overview!$B$53)^-E$4),0),0)</f>
        <v>0</v>
      </c>
      <c r="AP83" s="89">
        <f>IF(F$16&gt;0,IF($AH82*F$14=F$4,-(F$16/F$5)*F$19*F$6*(1+Overview!$B$53)^-F$4+(F$22*F$6*(1+Overview!$B$53)^-F$4),0),0)</f>
        <v>0</v>
      </c>
      <c r="AQ83" s="95">
        <f>IF(G$16&gt;0,IF($AH82*G$14=G$4,-(G$16/G$5)*G$19*G$6*(1+Overview!$B$53)^-G$4+(G$22*G$6*(1+Overview!$B$53)^-G$4),0),0)</f>
        <v>0</v>
      </c>
      <c r="AR83" s="84"/>
      <c r="AS83" s="109">
        <f t="shared" si="31"/>
        <v>77</v>
      </c>
      <c r="AT83" s="94">
        <f>IF($AS83&lt;E$4,E$20*E$6*E$11*(1+Overview!$B$53)^-($AS83),0)</f>
        <v>0</v>
      </c>
      <c r="AU83" s="89">
        <f>IF($AS83&lt;F$4,F$20*F$6*F$11*(1+Overview!$B$53)^-($AS83),0)</f>
        <v>0</v>
      </c>
      <c r="AV83" s="89">
        <f>IF($AS83&lt;G$4,G$20*G$6*G$11*(1+Overview!$B$53)^-($AS83),0)</f>
        <v>0</v>
      </c>
      <c r="AW83" s="94">
        <f>IF(E$67=0,IF($AS83&lt;E$4,E$55*(1+Overview!$B$53)^-($AS83),0),IF($AS83&lt;E$4,E$67*(1+Overview!$B$53)^-($AS83),0))</f>
        <v>0</v>
      </c>
      <c r="AX83" s="89">
        <f>IF(F$67=0,IF($AS83&lt;F$4,F$55*(1+Overview!$B$53)^-($AS83),0),IF($AS83&lt;F$4,F$67*(1+Overview!$B$53)^-($AS83),0))</f>
        <v>0</v>
      </c>
      <c r="AY83" s="89">
        <f>IF(G$67=0,IF($AS83&lt;G$4,G$55*(1+Overview!$B$53)^-($AS83),0),IF($AS83&lt;G$4,G$67*(1+Overview!$B$53)^-($AS83),0))</f>
        <v>0</v>
      </c>
      <c r="AZ83" s="89">
        <f>IF(E$68=0,IF($AS83&lt;E$4,E$56*(1+Overview!$B$53)^-($AS83),0),IF($AS83&lt;E$4,E$68*(1+Overview!$B$53)^-($AS83),0))</f>
        <v>0</v>
      </c>
      <c r="BA83" s="89">
        <f>IF(F$68=0,IF($AS83&lt;F$4,F$56*(1+Overview!$B$53)^-($AS83),0),IF($AS83&lt;F$4,F$68*(1+Overview!$B$53)^-($AS83),0))</f>
        <v>0</v>
      </c>
      <c r="BB83" s="89">
        <f>IF(G$68=0,IF($AS83&lt;G$4,G$56*(1+Overview!$B$53)^-($AS83),0),IF($AS83&lt;G$4,G$68*(1+Overview!$B$53)^-($AS83),0))</f>
        <v>0</v>
      </c>
      <c r="BC83" s="89">
        <f>IF(E$69=0,IF($AS83&lt;E$4,E$57*(1+Overview!$B$53)^-($AS83),0),IF($AS83&lt;E$4,E$69*(1+Overview!$B$53)^-($AS83),0))</f>
        <v>0</v>
      </c>
      <c r="BD83" s="89">
        <f>IF(F$69=0,IF($AS83&lt;F$4,F$57*(1+Overview!$B$53)^-($AS83),0),IF($AS83&lt;F$4,F$69*(1+Overview!$B$53)^-($AS83),0))</f>
        <v>0</v>
      </c>
      <c r="BE83" s="95">
        <f>IF(G$69=0,IF($AS83&lt;G$4,G$57*(1+Overview!$B$53)^-($AS83),0),IF($AS83&lt;G$4,G$69*(1+Overview!$B$53)^-($AS83),0))</f>
        <v>0</v>
      </c>
      <c r="BF83" s="1"/>
    </row>
    <row r="84" spans="18:58" x14ac:dyDescent="0.3">
      <c r="R84" s="118">
        <f t="shared" si="28"/>
        <v>77</v>
      </c>
      <c r="S84" s="94">
        <f t="shared" si="22"/>
        <v>0</v>
      </c>
      <c r="T84" s="89">
        <f t="shared" si="22"/>
        <v>0</v>
      </c>
      <c r="U84" s="95">
        <f t="shared" si="22"/>
        <v>0</v>
      </c>
      <c r="V84" s="94">
        <f t="shared" si="23"/>
        <v>0</v>
      </c>
      <c r="W84" s="89">
        <f t="shared" si="23"/>
        <v>0</v>
      </c>
      <c r="X84" s="95">
        <f t="shared" si="23"/>
        <v>0</v>
      </c>
      <c r="Y84" s="89"/>
      <c r="Z84" s="118">
        <f t="shared" si="29"/>
        <v>78</v>
      </c>
      <c r="AA84" s="94">
        <f t="shared" si="24"/>
        <v>0</v>
      </c>
      <c r="AB84" s="89">
        <f t="shared" si="24"/>
        <v>0</v>
      </c>
      <c r="AC84" s="95">
        <f t="shared" si="24"/>
        <v>0</v>
      </c>
      <c r="AD84" s="94">
        <f t="shared" si="25"/>
        <v>0</v>
      </c>
      <c r="AE84" s="89">
        <f t="shared" si="25"/>
        <v>0</v>
      </c>
      <c r="AF84" s="95">
        <f t="shared" si="25"/>
        <v>0</v>
      </c>
      <c r="AG84" s="84"/>
      <c r="AH84" s="118">
        <f t="shared" si="30"/>
        <v>77</v>
      </c>
      <c r="AI84" s="94">
        <f>IF(E$5*$AH84&lt;E$5*E$14,(E$19*E$6*(1+Overview!$B$53)^-(E$5*$AH84)),0)</f>
        <v>0</v>
      </c>
      <c r="AJ84" s="89">
        <f>IF(F$5*$AH84&lt;F$5*F$14,(F$19*F$6*(1+Overview!$B$53)^-(F$5*$AH84)),0)</f>
        <v>0</v>
      </c>
      <c r="AK84" s="95">
        <f>IF(G$5*$AH84&lt;G$5*G$14,(G$19*G$6*(1+Overview!$B$53)^-(G$5*$AH84)),0)</f>
        <v>0</v>
      </c>
      <c r="AL84" s="94">
        <f>IF($AH84=0,0,IF(E$5*$AH84&lt;=E$5*E$14,(E$22*E$6*(1+Overview!$B$53)^-(E$5*$AH84)),0))</f>
        <v>0</v>
      </c>
      <c r="AM84" s="89">
        <f>IF($AH84=0,0,IF(F$5*$AH84&lt;=F$5*F$14,(F$22*F$6*(1+Overview!$B$53)^-(F$5*$AH84)),0))</f>
        <v>0</v>
      </c>
      <c r="AN84" s="95">
        <f>IF($AH84=0,0,IF(G$5*$AH84&lt;=G$5*G$14,(G$22*G$6*(1+Overview!$B$53)^-(G$5*$AH84)),0))</f>
        <v>0</v>
      </c>
      <c r="AO84" s="94">
        <f>IF(E$16&gt;0,IF($AH83*E$14=E$4,-(E$16/E$5)*E$19*E$6*(1+Overview!$B$53)^-E$4+(E$22*E$6*(1+Overview!$B$53)^-E$4),0),0)</f>
        <v>0</v>
      </c>
      <c r="AP84" s="89">
        <f>IF(F$16&gt;0,IF($AH83*F$14=F$4,-(F$16/F$5)*F$19*F$6*(1+Overview!$B$53)^-F$4+(F$22*F$6*(1+Overview!$B$53)^-F$4),0),0)</f>
        <v>0</v>
      </c>
      <c r="AQ84" s="95">
        <f>IF(G$16&gt;0,IF($AH83*G$14=G$4,-(G$16/G$5)*G$19*G$6*(1+Overview!$B$53)^-G$4+(G$22*G$6*(1+Overview!$B$53)^-G$4),0),0)</f>
        <v>0</v>
      </c>
      <c r="AR84" s="84"/>
      <c r="AS84" s="109">
        <f t="shared" si="31"/>
        <v>78</v>
      </c>
      <c r="AT84" s="94">
        <f>IF($AS84&lt;E$4,E$20*E$6*E$11*(1+Overview!$B$53)^-($AS84),0)</f>
        <v>0</v>
      </c>
      <c r="AU84" s="89">
        <f>IF($AS84&lt;F$4,F$20*F$6*F$11*(1+Overview!$B$53)^-($AS84),0)</f>
        <v>0</v>
      </c>
      <c r="AV84" s="89">
        <f>IF($AS84&lt;G$4,G$20*G$6*G$11*(1+Overview!$B$53)^-($AS84),0)</f>
        <v>0</v>
      </c>
      <c r="AW84" s="94">
        <f>IF(E$67=0,IF($AS84&lt;E$4,E$55*(1+Overview!$B$53)^-($AS84),0),IF($AS84&lt;E$4,E$67*(1+Overview!$B$53)^-($AS84),0))</f>
        <v>0</v>
      </c>
      <c r="AX84" s="89">
        <f>IF(F$67=0,IF($AS84&lt;F$4,F$55*(1+Overview!$B$53)^-($AS84),0),IF($AS84&lt;F$4,F$67*(1+Overview!$B$53)^-($AS84),0))</f>
        <v>0</v>
      </c>
      <c r="AY84" s="89">
        <f>IF(G$67=0,IF($AS84&lt;G$4,G$55*(1+Overview!$B$53)^-($AS84),0),IF($AS84&lt;G$4,G$67*(1+Overview!$B$53)^-($AS84),0))</f>
        <v>0</v>
      </c>
      <c r="AZ84" s="89">
        <f>IF(E$68=0,IF($AS84&lt;E$4,E$56*(1+Overview!$B$53)^-($AS84),0),IF($AS84&lt;E$4,E$68*(1+Overview!$B$53)^-($AS84),0))</f>
        <v>0</v>
      </c>
      <c r="BA84" s="89">
        <f>IF(F$68=0,IF($AS84&lt;F$4,F$56*(1+Overview!$B$53)^-($AS84),0),IF($AS84&lt;F$4,F$68*(1+Overview!$B$53)^-($AS84),0))</f>
        <v>0</v>
      </c>
      <c r="BB84" s="89">
        <f>IF(G$68=0,IF($AS84&lt;G$4,G$56*(1+Overview!$B$53)^-($AS84),0),IF($AS84&lt;G$4,G$68*(1+Overview!$B$53)^-($AS84),0))</f>
        <v>0</v>
      </c>
      <c r="BC84" s="89">
        <f>IF(E$69=0,IF($AS84&lt;E$4,E$57*(1+Overview!$B$53)^-($AS84),0),IF($AS84&lt;E$4,E$69*(1+Overview!$B$53)^-($AS84),0))</f>
        <v>0</v>
      </c>
      <c r="BD84" s="89">
        <f>IF(F$69=0,IF($AS84&lt;F$4,F$57*(1+Overview!$B$53)^-($AS84),0),IF($AS84&lt;F$4,F$69*(1+Overview!$B$53)^-($AS84),0))</f>
        <v>0</v>
      </c>
      <c r="BE84" s="95">
        <f>IF(G$69=0,IF($AS84&lt;G$4,G$57*(1+Overview!$B$53)^-($AS84),0),IF($AS84&lt;G$4,G$69*(1+Overview!$B$53)^-($AS84),0))</f>
        <v>0</v>
      </c>
      <c r="BF84" s="1"/>
    </row>
    <row r="85" spans="18:58" x14ac:dyDescent="0.3">
      <c r="R85" s="118">
        <f t="shared" si="28"/>
        <v>78</v>
      </c>
      <c r="S85" s="94">
        <f t="shared" si="22"/>
        <v>0</v>
      </c>
      <c r="T85" s="89">
        <f t="shared" si="22"/>
        <v>0</v>
      </c>
      <c r="U85" s="95">
        <f t="shared" si="22"/>
        <v>0</v>
      </c>
      <c r="V85" s="94">
        <f t="shared" si="23"/>
        <v>0</v>
      </c>
      <c r="W85" s="89">
        <f t="shared" si="23"/>
        <v>0</v>
      </c>
      <c r="X85" s="95">
        <f t="shared" si="23"/>
        <v>0</v>
      </c>
      <c r="Y85" s="89"/>
      <c r="Z85" s="118">
        <f t="shared" si="29"/>
        <v>79</v>
      </c>
      <c r="AA85" s="94">
        <f t="shared" si="24"/>
        <v>0</v>
      </c>
      <c r="AB85" s="89">
        <f t="shared" si="24"/>
        <v>0</v>
      </c>
      <c r="AC85" s="95">
        <f t="shared" si="24"/>
        <v>0</v>
      </c>
      <c r="AD85" s="94">
        <f t="shared" si="25"/>
        <v>0</v>
      </c>
      <c r="AE85" s="89">
        <f t="shared" si="25"/>
        <v>0</v>
      </c>
      <c r="AF85" s="95">
        <f t="shared" si="25"/>
        <v>0</v>
      </c>
      <c r="AG85" s="84"/>
      <c r="AH85" s="118">
        <f t="shared" si="30"/>
        <v>78</v>
      </c>
      <c r="AI85" s="94">
        <f>IF(E$5*$AH85&lt;E$5*E$14,(E$19*E$6*(1+Overview!$B$53)^-(E$5*$AH85)),0)</f>
        <v>0</v>
      </c>
      <c r="AJ85" s="89">
        <f>IF(F$5*$AH85&lt;F$5*F$14,(F$19*F$6*(1+Overview!$B$53)^-(F$5*$AH85)),0)</f>
        <v>0</v>
      </c>
      <c r="AK85" s="95">
        <f>IF(G$5*$AH85&lt;G$5*G$14,(G$19*G$6*(1+Overview!$B$53)^-(G$5*$AH85)),0)</f>
        <v>0</v>
      </c>
      <c r="AL85" s="94">
        <f>IF($AH85=0,0,IF(E$5*$AH85&lt;=E$5*E$14,(E$22*E$6*(1+Overview!$B$53)^-(E$5*$AH85)),0))</f>
        <v>0</v>
      </c>
      <c r="AM85" s="89">
        <f>IF($AH85=0,0,IF(F$5*$AH85&lt;=F$5*F$14,(F$22*F$6*(1+Overview!$B$53)^-(F$5*$AH85)),0))</f>
        <v>0</v>
      </c>
      <c r="AN85" s="95">
        <f>IF($AH85=0,0,IF(G$5*$AH85&lt;=G$5*G$14,(G$22*G$6*(1+Overview!$B$53)^-(G$5*$AH85)),0))</f>
        <v>0</v>
      </c>
      <c r="AO85" s="94">
        <f>IF(E$16&gt;0,IF($AH84*E$14=E$4,-(E$16/E$5)*E$19*E$6*(1+Overview!$B$53)^-E$4+(E$22*E$6*(1+Overview!$B$53)^-E$4),0),0)</f>
        <v>0</v>
      </c>
      <c r="AP85" s="89">
        <f>IF(F$16&gt;0,IF($AH84*F$14=F$4,-(F$16/F$5)*F$19*F$6*(1+Overview!$B$53)^-F$4+(F$22*F$6*(1+Overview!$B$53)^-F$4),0),0)</f>
        <v>0</v>
      </c>
      <c r="AQ85" s="95">
        <f>IF(G$16&gt;0,IF($AH84*G$14=G$4,-(G$16/G$5)*G$19*G$6*(1+Overview!$B$53)^-G$4+(G$22*G$6*(1+Overview!$B$53)^-G$4),0),0)</f>
        <v>0</v>
      </c>
      <c r="AR85" s="84"/>
      <c r="AS85" s="109">
        <f t="shared" si="31"/>
        <v>79</v>
      </c>
      <c r="AT85" s="94">
        <f>IF($AS85&lt;E$4,E$20*E$6*E$11*(1+Overview!$B$53)^-($AS85),0)</f>
        <v>0</v>
      </c>
      <c r="AU85" s="89">
        <f>IF($AS85&lt;F$4,F$20*F$6*F$11*(1+Overview!$B$53)^-($AS85),0)</f>
        <v>0</v>
      </c>
      <c r="AV85" s="89">
        <f>IF($AS85&lt;G$4,G$20*G$6*G$11*(1+Overview!$B$53)^-($AS85),0)</f>
        <v>0</v>
      </c>
      <c r="AW85" s="94">
        <f>IF(E$67=0,IF($AS85&lt;E$4,E$55*(1+Overview!$B$53)^-($AS85),0),IF($AS85&lt;E$4,E$67*(1+Overview!$B$53)^-($AS85),0))</f>
        <v>0</v>
      </c>
      <c r="AX85" s="89">
        <f>IF(F$67=0,IF($AS85&lt;F$4,F$55*(1+Overview!$B$53)^-($AS85),0),IF($AS85&lt;F$4,F$67*(1+Overview!$B$53)^-($AS85),0))</f>
        <v>0</v>
      </c>
      <c r="AY85" s="89">
        <f>IF(G$67=0,IF($AS85&lt;G$4,G$55*(1+Overview!$B$53)^-($AS85),0),IF($AS85&lt;G$4,G$67*(1+Overview!$B$53)^-($AS85),0))</f>
        <v>0</v>
      </c>
      <c r="AZ85" s="89">
        <f>IF(E$68=0,IF($AS85&lt;E$4,E$56*(1+Overview!$B$53)^-($AS85),0),IF($AS85&lt;E$4,E$68*(1+Overview!$B$53)^-($AS85),0))</f>
        <v>0</v>
      </c>
      <c r="BA85" s="89">
        <f>IF(F$68=0,IF($AS85&lt;F$4,F$56*(1+Overview!$B$53)^-($AS85),0),IF($AS85&lt;F$4,F$68*(1+Overview!$B$53)^-($AS85),0))</f>
        <v>0</v>
      </c>
      <c r="BB85" s="89">
        <f>IF(G$68=0,IF($AS85&lt;G$4,G$56*(1+Overview!$B$53)^-($AS85),0),IF($AS85&lt;G$4,G$68*(1+Overview!$B$53)^-($AS85),0))</f>
        <v>0</v>
      </c>
      <c r="BC85" s="89">
        <f>IF(E$69=0,IF($AS85&lt;E$4,E$57*(1+Overview!$B$53)^-($AS85),0),IF($AS85&lt;E$4,E$69*(1+Overview!$B$53)^-($AS85),0))</f>
        <v>0</v>
      </c>
      <c r="BD85" s="89">
        <f>IF(F$69=0,IF($AS85&lt;F$4,F$57*(1+Overview!$B$53)^-($AS85),0),IF($AS85&lt;F$4,F$69*(1+Overview!$B$53)^-($AS85),0))</f>
        <v>0</v>
      </c>
      <c r="BE85" s="95">
        <f>IF(G$69=0,IF($AS85&lt;G$4,G$57*(1+Overview!$B$53)^-($AS85),0),IF($AS85&lt;G$4,G$69*(1+Overview!$B$53)^-($AS85),0))</f>
        <v>0</v>
      </c>
      <c r="BF85" s="1"/>
    </row>
    <row r="86" spans="18:58" x14ac:dyDescent="0.3">
      <c r="R86" s="118">
        <f t="shared" si="28"/>
        <v>79</v>
      </c>
      <c r="S86" s="94">
        <f t="shared" si="22"/>
        <v>0</v>
      </c>
      <c r="T86" s="89">
        <f t="shared" si="22"/>
        <v>0</v>
      </c>
      <c r="U86" s="95">
        <f t="shared" si="22"/>
        <v>0</v>
      </c>
      <c r="V86" s="94">
        <f t="shared" si="23"/>
        <v>0</v>
      </c>
      <c r="W86" s="89">
        <f t="shared" si="23"/>
        <v>0</v>
      </c>
      <c r="X86" s="95">
        <f t="shared" si="23"/>
        <v>0</v>
      </c>
      <c r="Y86" s="89"/>
      <c r="Z86" s="118">
        <f t="shared" si="29"/>
        <v>80</v>
      </c>
      <c r="AA86" s="94">
        <f t="shared" si="24"/>
        <v>0</v>
      </c>
      <c r="AB86" s="89">
        <f t="shared" si="24"/>
        <v>0</v>
      </c>
      <c r="AC86" s="95">
        <f t="shared" si="24"/>
        <v>0</v>
      </c>
      <c r="AD86" s="94">
        <f t="shared" si="25"/>
        <v>0</v>
      </c>
      <c r="AE86" s="89">
        <f t="shared" si="25"/>
        <v>0</v>
      </c>
      <c r="AF86" s="95">
        <f t="shared" si="25"/>
        <v>0</v>
      </c>
      <c r="AG86" s="84"/>
      <c r="AH86" s="118">
        <f t="shared" si="30"/>
        <v>79</v>
      </c>
      <c r="AI86" s="94">
        <f>IF(E$5*$AH86&lt;E$5*E$14,(E$19*E$6*(1+Overview!$B$53)^-(E$5*$AH86)),0)</f>
        <v>0</v>
      </c>
      <c r="AJ86" s="89">
        <f>IF(F$5*$AH86&lt;F$5*F$14,(F$19*F$6*(1+Overview!$B$53)^-(F$5*$AH86)),0)</f>
        <v>0</v>
      </c>
      <c r="AK86" s="95">
        <f>IF(G$5*$AH86&lt;G$5*G$14,(G$19*G$6*(1+Overview!$B$53)^-(G$5*$AH86)),0)</f>
        <v>0</v>
      </c>
      <c r="AL86" s="94">
        <f>IF($AH86=0,0,IF(E$5*$AH86&lt;=E$5*E$14,(E$22*E$6*(1+Overview!$B$53)^-(E$5*$AH86)),0))</f>
        <v>0</v>
      </c>
      <c r="AM86" s="89">
        <f>IF($AH86=0,0,IF(F$5*$AH86&lt;=F$5*F$14,(F$22*F$6*(1+Overview!$B$53)^-(F$5*$AH86)),0))</f>
        <v>0</v>
      </c>
      <c r="AN86" s="95">
        <f>IF($AH86=0,0,IF(G$5*$AH86&lt;=G$5*G$14,(G$22*G$6*(1+Overview!$B$53)^-(G$5*$AH86)),0))</f>
        <v>0</v>
      </c>
      <c r="AO86" s="94">
        <f>IF(E$16&gt;0,IF($AH85*E$14=E$4,-(E$16/E$5)*E$19*E$6*(1+Overview!$B$53)^-E$4+(E$22*E$6*(1+Overview!$B$53)^-E$4),0),0)</f>
        <v>0</v>
      </c>
      <c r="AP86" s="89">
        <f>IF(F$16&gt;0,IF($AH85*F$14=F$4,-(F$16/F$5)*F$19*F$6*(1+Overview!$B$53)^-F$4+(F$22*F$6*(1+Overview!$B$53)^-F$4),0),0)</f>
        <v>0</v>
      </c>
      <c r="AQ86" s="95">
        <f>IF(G$16&gt;0,IF($AH85*G$14=G$4,-(G$16/G$5)*G$19*G$6*(1+Overview!$B$53)^-G$4+(G$22*G$6*(1+Overview!$B$53)^-G$4),0),0)</f>
        <v>0</v>
      </c>
      <c r="AR86" s="84"/>
      <c r="AS86" s="109">
        <f t="shared" si="31"/>
        <v>80</v>
      </c>
      <c r="AT86" s="94">
        <f>IF($AS86&lt;E$4,E$20*E$6*E$11*(1+Overview!$B$53)^-($AS86),0)</f>
        <v>0</v>
      </c>
      <c r="AU86" s="89">
        <f>IF($AS86&lt;F$4,F$20*F$6*F$11*(1+Overview!$B$53)^-($AS86),0)</f>
        <v>0</v>
      </c>
      <c r="AV86" s="89">
        <f>IF($AS86&lt;G$4,G$20*G$6*G$11*(1+Overview!$B$53)^-($AS86),0)</f>
        <v>0</v>
      </c>
      <c r="AW86" s="94">
        <f>IF(E$67=0,IF($AS86&lt;E$4,E$55*(1+Overview!$B$53)^-($AS86),0),IF($AS86&lt;E$4,E$67*(1+Overview!$B$53)^-($AS86),0))</f>
        <v>0</v>
      </c>
      <c r="AX86" s="89">
        <f>IF(F$67=0,IF($AS86&lt;F$4,F$55*(1+Overview!$B$53)^-($AS86),0),IF($AS86&lt;F$4,F$67*(1+Overview!$B$53)^-($AS86),0))</f>
        <v>0</v>
      </c>
      <c r="AY86" s="89">
        <f>IF(G$67=0,IF($AS86&lt;G$4,G$55*(1+Overview!$B$53)^-($AS86),0),IF($AS86&lt;G$4,G$67*(1+Overview!$B$53)^-($AS86),0))</f>
        <v>0</v>
      </c>
      <c r="AZ86" s="89">
        <f>IF(E$68=0,IF($AS86&lt;E$4,E$56*(1+Overview!$B$53)^-($AS86),0),IF($AS86&lt;E$4,E$68*(1+Overview!$B$53)^-($AS86),0))</f>
        <v>0</v>
      </c>
      <c r="BA86" s="89">
        <f>IF(F$68=0,IF($AS86&lt;F$4,F$56*(1+Overview!$B$53)^-($AS86),0),IF($AS86&lt;F$4,F$68*(1+Overview!$B$53)^-($AS86),0))</f>
        <v>0</v>
      </c>
      <c r="BB86" s="89">
        <f>IF(G$68=0,IF($AS86&lt;G$4,G$56*(1+Overview!$B$53)^-($AS86),0),IF($AS86&lt;G$4,G$68*(1+Overview!$B$53)^-($AS86),0))</f>
        <v>0</v>
      </c>
      <c r="BC86" s="89">
        <f>IF(E$69=0,IF($AS86&lt;E$4,E$57*(1+Overview!$B$53)^-($AS86),0),IF($AS86&lt;E$4,E$69*(1+Overview!$B$53)^-($AS86),0))</f>
        <v>0</v>
      </c>
      <c r="BD86" s="89">
        <f>IF(F$69=0,IF($AS86&lt;F$4,F$57*(1+Overview!$B$53)^-($AS86),0),IF($AS86&lt;F$4,F$69*(1+Overview!$B$53)^-($AS86),0))</f>
        <v>0</v>
      </c>
      <c r="BE86" s="95">
        <f>IF(G$69=0,IF($AS86&lt;G$4,G$57*(1+Overview!$B$53)^-($AS86),0),IF($AS86&lt;G$4,G$69*(1+Overview!$B$53)^-($AS86),0))</f>
        <v>0</v>
      </c>
      <c r="BF86" s="1"/>
    </row>
    <row r="87" spans="18:58" x14ac:dyDescent="0.3">
      <c r="R87" s="118">
        <f t="shared" si="28"/>
        <v>80</v>
      </c>
      <c r="S87" s="94">
        <f t="shared" ref="S87:U107" si="32">SUMIF($AI$6:$AK$6,S$6,$AI87:$AK87)</f>
        <v>0</v>
      </c>
      <c r="T87" s="89">
        <f t="shared" si="32"/>
        <v>0</v>
      </c>
      <c r="U87" s="95">
        <f t="shared" si="32"/>
        <v>0</v>
      </c>
      <c r="V87" s="94">
        <f t="shared" ref="V87:X107" si="33">SUMIF($AL$6:$AQ$6,V$6,$AL87:$AQ87)</f>
        <v>0</v>
      </c>
      <c r="W87" s="89">
        <f t="shared" si="33"/>
        <v>0</v>
      </c>
      <c r="X87" s="95">
        <f t="shared" si="33"/>
        <v>0</v>
      </c>
      <c r="Y87" s="89"/>
      <c r="Z87" s="118">
        <f t="shared" si="29"/>
        <v>81</v>
      </c>
      <c r="AA87" s="94">
        <f t="shared" ref="AA87:AC107" si="34">SUMIF($AT$6:$AV$6,AA$6,$AT87:$AV87)</f>
        <v>0</v>
      </c>
      <c r="AB87" s="89">
        <f t="shared" si="34"/>
        <v>0</v>
      </c>
      <c r="AC87" s="95">
        <f t="shared" si="34"/>
        <v>0</v>
      </c>
      <c r="AD87" s="94">
        <f t="shared" ref="AD87:AF107" si="35">SUMIF($AW$6:$BE$6,AD$6,$AW87:$BE87)</f>
        <v>0</v>
      </c>
      <c r="AE87" s="89">
        <f t="shared" si="35"/>
        <v>0</v>
      </c>
      <c r="AF87" s="95">
        <f t="shared" si="35"/>
        <v>0</v>
      </c>
      <c r="AG87" s="84"/>
      <c r="AH87" s="118">
        <f t="shared" si="30"/>
        <v>80</v>
      </c>
      <c r="AI87" s="94">
        <f>IF(E$5*$AH87&lt;E$5*E$14,(E$19*E$6*(1+Overview!$B$53)^-(E$5*$AH87)),0)</f>
        <v>0</v>
      </c>
      <c r="AJ87" s="89">
        <f>IF(F$5*$AH87&lt;F$5*F$14,(F$19*F$6*(1+Overview!$B$53)^-(F$5*$AH87)),0)</f>
        <v>0</v>
      </c>
      <c r="AK87" s="95">
        <f>IF(G$5*$AH87&lt;G$5*G$14,(G$19*G$6*(1+Overview!$B$53)^-(G$5*$AH87)),0)</f>
        <v>0</v>
      </c>
      <c r="AL87" s="94">
        <f>IF($AH87=0,0,IF(E$5*$AH87&lt;=E$5*E$14,(E$22*E$6*(1+Overview!$B$53)^-(E$5*$AH87)),0))</f>
        <v>0</v>
      </c>
      <c r="AM87" s="89">
        <f>IF($AH87=0,0,IF(F$5*$AH87&lt;=F$5*F$14,(F$22*F$6*(1+Overview!$B$53)^-(F$5*$AH87)),0))</f>
        <v>0</v>
      </c>
      <c r="AN87" s="95">
        <f>IF($AH87=0,0,IF(G$5*$AH87&lt;=G$5*G$14,(G$22*G$6*(1+Overview!$B$53)^-(G$5*$AH87)),0))</f>
        <v>0</v>
      </c>
      <c r="AO87" s="94">
        <f>IF(E$16&gt;0,IF($AH86*E$14=E$4,-(E$16/E$5)*E$19*E$6*(1+Overview!$B$53)^-E$4+(E$22*E$6*(1+Overview!$B$53)^-E$4),0),0)</f>
        <v>0</v>
      </c>
      <c r="AP87" s="89">
        <f>IF(F$16&gt;0,IF($AH86*F$14=F$4,-(F$16/F$5)*F$19*F$6*(1+Overview!$B$53)^-F$4+(F$22*F$6*(1+Overview!$B$53)^-F$4),0),0)</f>
        <v>0</v>
      </c>
      <c r="AQ87" s="95">
        <f>IF(G$16&gt;0,IF($AH86*G$14=G$4,-(G$16/G$5)*G$19*G$6*(1+Overview!$B$53)^-G$4+(G$22*G$6*(1+Overview!$B$53)^-G$4),0),0)</f>
        <v>0</v>
      </c>
      <c r="AR87" s="84"/>
      <c r="AS87" s="109">
        <f t="shared" si="31"/>
        <v>81</v>
      </c>
      <c r="AT87" s="94">
        <f>IF($AS87&lt;E$4,E$20*E$6*E$11*(1+Overview!$B$53)^-($AS87),0)</f>
        <v>0</v>
      </c>
      <c r="AU87" s="89">
        <f>IF($AS87&lt;F$4,F$20*F$6*F$11*(1+Overview!$B$53)^-($AS87),0)</f>
        <v>0</v>
      </c>
      <c r="AV87" s="89">
        <f>IF($AS87&lt;G$4,G$20*G$6*G$11*(1+Overview!$B$53)^-($AS87),0)</f>
        <v>0</v>
      </c>
      <c r="AW87" s="94">
        <f>IF(E$67=0,IF($AS87&lt;E$4,E$55*(1+Overview!$B$53)^-($AS87),0),IF($AS87&lt;E$4,E$67*(1+Overview!$B$53)^-($AS87),0))</f>
        <v>0</v>
      </c>
      <c r="AX87" s="89">
        <f>IF(F$67=0,IF($AS87&lt;F$4,F$55*(1+Overview!$B$53)^-($AS87),0),IF($AS87&lt;F$4,F$67*(1+Overview!$B$53)^-($AS87),0))</f>
        <v>0</v>
      </c>
      <c r="AY87" s="89">
        <f>IF(G$67=0,IF($AS87&lt;G$4,G$55*(1+Overview!$B$53)^-($AS87),0),IF($AS87&lt;G$4,G$67*(1+Overview!$B$53)^-($AS87),0))</f>
        <v>0</v>
      </c>
      <c r="AZ87" s="89">
        <f>IF(E$68=0,IF($AS87&lt;E$4,E$56*(1+Overview!$B$53)^-($AS87),0),IF($AS87&lt;E$4,E$68*(1+Overview!$B$53)^-($AS87),0))</f>
        <v>0</v>
      </c>
      <c r="BA87" s="89">
        <f>IF(F$68=0,IF($AS87&lt;F$4,F$56*(1+Overview!$B$53)^-($AS87),0),IF($AS87&lt;F$4,F$68*(1+Overview!$B$53)^-($AS87),0))</f>
        <v>0</v>
      </c>
      <c r="BB87" s="89">
        <f>IF(G$68=0,IF($AS87&lt;G$4,G$56*(1+Overview!$B$53)^-($AS87),0),IF($AS87&lt;G$4,G$68*(1+Overview!$B$53)^-($AS87),0))</f>
        <v>0</v>
      </c>
      <c r="BC87" s="89">
        <f>IF(E$69=0,IF($AS87&lt;E$4,E$57*(1+Overview!$B$53)^-($AS87),0),IF($AS87&lt;E$4,E$69*(1+Overview!$B$53)^-($AS87),0))</f>
        <v>0</v>
      </c>
      <c r="BD87" s="89">
        <f>IF(F$69=0,IF($AS87&lt;F$4,F$57*(1+Overview!$B$53)^-($AS87),0),IF($AS87&lt;F$4,F$69*(1+Overview!$B$53)^-($AS87),0))</f>
        <v>0</v>
      </c>
      <c r="BE87" s="95">
        <f>IF(G$69=0,IF($AS87&lt;G$4,G$57*(1+Overview!$B$53)^-($AS87),0),IF($AS87&lt;G$4,G$69*(1+Overview!$B$53)^-($AS87),0))</f>
        <v>0</v>
      </c>
      <c r="BF87" s="1"/>
    </row>
    <row r="88" spans="18:58" x14ac:dyDescent="0.3">
      <c r="R88" s="118">
        <f t="shared" si="28"/>
        <v>81</v>
      </c>
      <c r="S88" s="94">
        <f t="shared" si="32"/>
        <v>0</v>
      </c>
      <c r="T88" s="89">
        <f t="shared" si="32"/>
        <v>0</v>
      </c>
      <c r="U88" s="95">
        <f t="shared" si="32"/>
        <v>0</v>
      </c>
      <c r="V88" s="94">
        <f t="shared" si="33"/>
        <v>0</v>
      </c>
      <c r="W88" s="89">
        <f t="shared" si="33"/>
        <v>0</v>
      </c>
      <c r="X88" s="95">
        <f t="shared" si="33"/>
        <v>0</v>
      </c>
      <c r="Y88" s="89"/>
      <c r="Z88" s="118">
        <f t="shared" si="29"/>
        <v>82</v>
      </c>
      <c r="AA88" s="94">
        <f t="shared" si="34"/>
        <v>0</v>
      </c>
      <c r="AB88" s="89">
        <f t="shared" si="34"/>
        <v>0</v>
      </c>
      <c r="AC88" s="95">
        <f t="shared" si="34"/>
        <v>0</v>
      </c>
      <c r="AD88" s="94">
        <f t="shared" si="35"/>
        <v>0</v>
      </c>
      <c r="AE88" s="89">
        <f t="shared" si="35"/>
        <v>0</v>
      </c>
      <c r="AF88" s="95">
        <f t="shared" si="35"/>
        <v>0</v>
      </c>
      <c r="AG88" s="84"/>
      <c r="AH88" s="118">
        <f t="shared" si="30"/>
        <v>81</v>
      </c>
      <c r="AI88" s="94">
        <f>IF(E$5*$AH88&lt;E$5*E$14,(E$19*E$6*(1+Overview!$B$53)^-(E$5*$AH88)),0)</f>
        <v>0</v>
      </c>
      <c r="AJ88" s="89">
        <f>IF(F$5*$AH88&lt;F$5*F$14,(F$19*F$6*(1+Overview!$B$53)^-(F$5*$AH88)),0)</f>
        <v>0</v>
      </c>
      <c r="AK88" s="95">
        <f>IF(G$5*$AH88&lt;G$5*G$14,(G$19*G$6*(1+Overview!$B$53)^-(G$5*$AH88)),0)</f>
        <v>0</v>
      </c>
      <c r="AL88" s="94">
        <f>IF($AH88=0,0,IF(E$5*$AH88&lt;=E$5*E$14,(E$22*E$6*(1+Overview!$B$53)^-(E$5*$AH88)),0))</f>
        <v>0</v>
      </c>
      <c r="AM88" s="89">
        <f>IF($AH88=0,0,IF(F$5*$AH88&lt;=F$5*F$14,(F$22*F$6*(1+Overview!$B$53)^-(F$5*$AH88)),0))</f>
        <v>0</v>
      </c>
      <c r="AN88" s="95">
        <f>IF($AH88=0,0,IF(G$5*$AH88&lt;=G$5*G$14,(G$22*G$6*(1+Overview!$B$53)^-(G$5*$AH88)),0))</f>
        <v>0</v>
      </c>
      <c r="AO88" s="94">
        <f>IF(E$16&gt;0,IF($AH87*E$14=E$4,-(E$16/E$5)*E$19*E$6*(1+Overview!$B$53)^-E$4+(E$22*E$6*(1+Overview!$B$53)^-E$4),0),0)</f>
        <v>0</v>
      </c>
      <c r="AP88" s="89">
        <f>IF(F$16&gt;0,IF($AH87*F$14=F$4,-(F$16/F$5)*F$19*F$6*(1+Overview!$B$53)^-F$4+(F$22*F$6*(1+Overview!$B$53)^-F$4),0),0)</f>
        <v>0</v>
      </c>
      <c r="AQ88" s="95">
        <f>IF(G$16&gt;0,IF($AH87*G$14=G$4,-(G$16/G$5)*G$19*G$6*(1+Overview!$B$53)^-G$4+(G$22*G$6*(1+Overview!$B$53)^-G$4),0),0)</f>
        <v>0</v>
      </c>
      <c r="AR88" s="84"/>
      <c r="AS88" s="109">
        <f t="shared" si="31"/>
        <v>82</v>
      </c>
      <c r="AT88" s="94">
        <f>IF($AS88&lt;E$4,E$20*E$6*E$11*(1+Overview!$B$53)^-($AS88),0)</f>
        <v>0</v>
      </c>
      <c r="AU88" s="89">
        <f>IF($AS88&lt;F$4,F$20*F$6*F$11*(1+Overview!$B$53)^-($AS88),0)</f>
        <v>0</v>
      </c>
      <c r="AV88" s="89">
        <f>IF($AS88&lt;G$4,G$20*G$6*G$11*(1+Overview!$B$53)^-($AS88),0)</f>
        <v>0</v>
      </c>
      <c r="AW88" s="94">
        <f>IF(E$67=0,IF($AS88&lt;E$4,E$55*(1+Overview!$B$53)^-($AS88),0),IF($AS88&lt;E$4,E$67*(1+Overview!$B$53)^-($AS88),0))</f>
        <v>0</v>
      </c>
      <c r="AX88" s="89">
        <f>IF(F$67=0,IF($AS88&lt;F$4,F$55*(1+Overview!$B$53)^-($AS88),0),IF($AS88&lt;F$4,F$67*(1+Overview!$B$53)^-($AS88),0))</f>
        <v>0</v>
      </c>
      <c r="AY88" s="89">
        <f>IF(G$67=0,IF($AS88&lt;G$4,G$55*(1+Overview!$B$53)^-($AS88),0),IF($AS88&lt;G$4,G$67*(1+Overview!$B$53)^-($AS88),0))</f>
        <v>0</v>
      </c>
      <c r="AZ88" s="89">
        <f>IF(E$68=0,IF($AS88&lt;E$4,E$56*(1+Overview!$B$53)^-($AS88),0),IF($AS88&lt;E$4,E$68*(1+Overview!$B$53)^-($AS88),0))</f>
        <v>0</v>
      </c>
      <c r="BA88" s="89">
        <f>IF(F$68=0,IF($AS88&lt;F$4,F$56*(1+Overview!$B$53)^-($AS88),0),IF($AS88&lt;F$4,F$68*(1+Overview!$B$53)^-($AS88),0))</f>
        <v>0</v>
      </c>
      <c r="BB88" s="89">
        <f>IF(G$68=0,IF($AS88&lt;G$4,G$56*(1+Overview!$B$53)^-($AS88),0),IF($AS88&lt;G$4,G$68*(1+Overview!$B$53)^-($AS88),0))</f>
        <v>0</v>
      </c>
      <c r="BC88" s="89">
        <f>IF(E$69=0,IF($AS88&lt;E$4,E$57*(1+Overview!$B$53)^-($AS88),0),IF($AS88&lt;E$4,E$69*(1+Overview!$B$53)^-($AS88),0))</f>
        <v>0</v>
      </c>
      <c r="BD88" s="89">
        <f>IF(F$69=0,IF($AS88&lt;F$4,F$57*(1+Overview!$B$53)^-($AS88),0),IF($AS88&lt;F$4,F$69*(1+Overview!$B$53)^-($AS88),0))</f>
        <v>0</v>
      </c>
      <c r="BE88" s="95">
        <f>IF(G$69=0,IF($AS88&lt;G$4,G$57*(1+Overview!$B$53)^-($AS88),0),IF($AS88&lt;G$4,G$69*(1+Overview!$B$53)^-($AS88),0))</f>
        <v>0</v>
      </c>
      <c r="BF88" s="1"/>
    </row>
    <row r="89" spans="18:58" x14ac:dyDescent="0.3">
      <c r="R89" s="118">
        <f t="shared" si="28"/>
        <v>82</v>
      </c>
      <c r="S89" s="94">
        <f t="shared" si="32"/>
        <v>0</v>
      </c>
      <c r="T89" s="89">
        <f t="shared" si="32"/>
        <v>0</v>
      </c>
      <c r="U89" s="95">
        <f t="shared" si="32"/>
        <v>0</v>
      </c>
      <c r="V89" s="94">
        <f t="shared" si="33"/>
        <v>0</v>
      </c>
      <c r="W89" s="89">
        <f t="shared" si="33"/>
        <v>0</v>
      </c>
      <c r="X89" s="95">
        <f t="shared" si="33"/>
        <v>0</v>
      </c>
      <c r="Y89" s="89"/>
      <c r="Z89" s="118">
        <f t="shared" si="29"/>
        <v>83</v>
      </c>
      <c r="AA89" s="94">
        <f t="shared" si="34"/>
        <v>0</v>
      </c>
      <c r="AB89" s="89">
        <f t="shared" si="34"/>
        <v>0</v>
      </c>
      <c r="AC89" s="95">
        <f t="shared" si="34"/>
        <v>0</v>
      </c>
      <c r="AD89" s="94">
        <f t="shared" si="35"/>
        <v>0</v>
      </c>
      <c r="AE89" s="89">
        <f t="shared" si="35"/>
        <v>0</v>
      </c>
      <c r="AF89" s="95">
        <f t="shared" si="35"/>
        <v>0</v>
      </c>
      <c r="AG89" s="84"/>
      <c r="AH89" s="118">
        <f t="shared" si="30"/>
        <v>82</v>
      </c>
      <c r="AI89" s="94">
        <f>IF(E$5*$AH89&lt;E$5*E$14,(E$19*E$6*(1+Overview!$B$53)^-(E$5*$AH89)),0)</f>
        <v>0</v>
      </c>
      <c r="AJ89" s="89">
        <f>IF(F$5*$AH89&lt;F$5*F$14,(F$19*F$6*(1+Overview!$B$53)^-(F$5*$AH89)),0)</f>
        <v>0</v>
      </c>
      <c r="AK89" s="95">
        <f>IF(G$5*$AH89&lt;G$5*G$14,(G$19*G$6*(1+Overview!$B$53)^-(G$5*$AH89)),0)</f>
        <v>0</v>
      </c>
      <c r="AL89" s="94">
        <f>IF($AH89=0,0,IF(E$5*$AH89&lt;=E$5*E$14,(E$22*E$6*(1+Overview!$B$53)^-(E$5*$AH89)),0))</f>
        <v>0</v>
      </c>
      <c r="AM89" s="89">
        <f>IF($AH89=0,0,IF(F$5*$AH89&lt;=F$5*F$14,(F$22*F$6*(1+Overview!$B$53)^-(F$5*$AH89)),0))</f>
        <v>0</v>
      </c>
      <c r="AN89" s="95">
        <f>IF($AH89=0,0,IF(G$5*$AH89&lt;=G$5*G$14,(G$22*G$6*(1+Overview!$B$53)^-(G$5*$AH89)),0))</f>
        <v>0</v>
      </c>
      <c r="AO89" s="94">
        <f>IF(E$16&gt;0,IF($AH88*E$14=E$4,-(E$16/E$5)*E$19*E$6*(1+Overview!$B$53)^-E$4+(E$22*E$6*(1+Overview!$B$53)^-E$4),0),0)</f>
        <v>0</v>
      </c>
      <c r="AP89" s="89">
        <f>IF(F$16&gt;0,IF($AH88*F$14=F$4,-(F$16/F$5)*F$19*F$6*(1+Overview!$B$53)^-F$4+(F$22*F$6*(1+Overview!$B$53)^-F$4),0),0)</f>
        <v>0</v>
      </c>
      <c r="AQ89" s="95">
        <f>IF(G$16&gt;0,IF($AH88*G$14=G$4,-(G$16/G$5)*G$19*G$6*(1+Overview!$B$53)^-G$4+(G$22*G$6*(1+Overview!$B$53)^-G$4),0),0)</f>
        <v>0</v>
      </c>
      <c r="AR89" s="84"/>
      <c r="AS89" s="109">
        <f t="shared" si="31"/>
        <v>83</v>
      </c>
      <c r="AT89" s="94">
        <f>IF($AS89&lt;E$4,E$20*E$6*E$11*(1+Overview!$B$53)^-($AS89),0)</f>
        <v>0</v>
      </c>
      <c r="AU89" s="89">
        <f>IF($AS89&lt;F$4,F$20*F$6*F$11*(1+Overview!$B$53)^-($AS89),0)</f>
        <v>0</v>
      </c>
      <c r="AV89" s="89">
        <f>IF($AS89&lt;G$4,G$20*G$6*G$11*(1+Overview!$B$53)^-($AS89),0)</f>
        <v>0</v>
      </c>
      <c r="AW89" s="94">
        <f>IF(E$67=0,IF($AS89&lt;E$4,E$55*(1+Overview!$B$53)^-($AS89),0),IF($AS89&lt;E$4,E$67*(1+Overview!$B$53)^-($AS89),0))</f>
        <v>0</v>
      </c>
      <c r="AX89" s="89">
        <f>IF(F$67=0,IF($AS89&lt;F$4,F$55*(1+Overview!$B$53)^-($AS89),0),IF($AS89&lt;F$4,F$67*(1+Overview!$B$53)^-($AS89),0))</f>
        <v>0</v>
      </c>
      <c r="AY89" s="89">
        <f>IF(G$67=0,IF($AS89&lt;G$4,G$55*(1+Overview!$B$53)^-($AS89),0),IF($AS89&lt;G$4,G$67*(1+Overview!$B$53)^-($AS89),0))</f>
        <v>0</v>
      </c>
      <c r="AZ89" s="89">
        <f>IF(E$68=0,IF($AS89&lt;E$4,E$56*(1+Overview!$B$53)^-($AS89),0),IF($AS89&lt;E$4,E$68*(1+Overview!$B$53)^-($AS89),0))</f>
        <v>0</v>
      </c>
      <c r="BA89" s="89">
        <f>IF(F$68=0,IF($AS89&lt;F$4,F$56*(1+Overview!$B$53)^-($AS89),0),IF($AS89&lt;F$4,F$68*(1+Overview!$B$53)^-($AS89),0))</f>
        <v>0</v>
      </c>
      <c r="BB89" s="89">
        <f>IF(G$68=0,IF($AS89&lt;G$4,G$56*(1+Overview!$B$53)^-($AS89),0),IF($AS89&lt;G$4,G$68*(1+Overview!$B$53)^-($AS89),0))</f>
        <v>0</v>
      </c>
      <c r="BC89" s="89">
        <f>IF(E$69=0,IF($AS89&lt;E$4,E$57*(1+Overview!$B$53)^-($AS89),0),IF($AS89&lt;E$4,E$69*(1+Overview!$B$53)^-($AS89),0))</f>
        <v>0</v>
      </c>
      <c r="BD89" s="89">
        <f>IF(F$69=0,IF($AS89&lt;F$4,F$57*(1+Overview!$B$53)^-($AS89),0),IF($AS89&lt;F$4,F$69*(1+Overview!$B$53)^-($AS89),0))</f>
        <v>0</v>
      </c>
      <c r="BE89" s="95">
        <f>IF(G$69=0,IF($AS89&lt;G$4,G$57*(1+Overview!$B$53)^-($AS89),0),IF($AS89&lt;G$4,G$69*(1+Overview!$B$53)^-($AS89),0))</f>
        <v>0</v>
      </c>
      <c r="BF89" s="1"/>
    </row>
    <row r="90" spans="18:58" x14ac:dyDescent="0.3">
      <c r="R90" s="118">
        <f t="shared" si="28"/>
        <v>83</v>
      </c>
      <c r="S90" s="94">
        <f t="shared" si="32"/>
        <v>0</v>
      </c>
      <c r="T90" s="89">
        <f t="shared" si="32"/>
        <v>0</v>
      </c>
      <c r="U90" s="95">
        <f t="shared" si="32"/>
        <v>0</v>
      </c>
      <c r="V90" s="94">
        <f t="shared" si="33"/>
        <v>0</v>
      </c>
      <c r="W90" s="89">
        <f t="shared" si="33"/>
        <v>0</v>
      </c>
      <c r="X90" s="95">
        <f t="shared" si="33"/>
        <v>0</v>
      </c>
      <c r="Y90" s="89"/>
      <c r="Z90" s="118">
        <f t="shared" si="29"/>
        <v>84</v>
      </c>
      <c r="AA90" s="94">
        <f t="shared" si="34"/>
        <v>0</v>
      </c>
      <c r="AB90" s="89">
        <f t="shared" si="34"/>
        <v>0</v>
      </c>
      <c r="AC90" s="95">
        <f t="shared" si="34"/>
        <v>0</v>
      </c>
      <c r="AD90" s="94">
        <f t="shared" si="35"/>
        <v>0</v>
      </c>
      <c r="AE90" s="89">
        <f t="shared" si="35"/>
        <v>0</v>
      </c>
      <c r="AF90" s="95">
        <f t="shared" si="35"/>
        <v>0</v>
      </c>
      <c r="AG90" s="84"/>
      <c r="AH90" s="118">
        <f t="shared" si="30"/>
        <v>83</v>
      </c>
      <c r="AI90" s="94">
        <f>IF(E$5*$AH90&lt;E$5*E$14,(E$19*E$6*(1+Overview!$B$53)^-(E$5*$AH90)),0)</f>
        <v>0</v>
      </c>
      <c r="AJ90" s="89">
        <f>IF(F$5*$AH90&lt;F$5*F$14,(F$19*F$6*(1+Overview!$B$53)^-(F$5*$AH90)),0)</f>
        <v>0</v>
      </c>
      <c r="AK90" s="95">
        <f>IF(G$5*$AH90&lt;G$5*G$14,(G$19*G$6*(1+Overview!$B$53)^-(G$5*$AH90)),0)</f>
        <v>0</v>
      </c>
      <c r="AL90" s="94">
        <f>IF($AH90=0,0,IF(E$5*$AH90&lt;=E$5*E$14,(E$22*E$6*(1+Overview!$B$53)^-(E$5*$AH90)),0))</f>
        <v>0</v>
      </c>
      <c r="AM90" s="89">
        <f>IF($AH90=0,0,IF(F$5*$AH90&lt;=F$5*F$14,(F$22*F$6*(1+Overview!$B$53)^-(F$5*$AH90)),0))</f>
        <v>0</v>
      </c>
      <c r="AN90" s="95">
        <f>IF($AH90=0,0,IF(G$5*$AH90&lt;=G$5*G$14,(G$22*G$6*(1+Overview!$B$53)^-(G$5*$AH90)),0))</f>
        <v>0</v>
      </c>
      <c r="AO90" s="94">
        <f>IF(E$16&gt;0,IF($AH89*E$14=E$4,-(E$16/E$5)*E$19*E$6*(1+Overview!$B$53)^-E$4+(E$22*E$6*(1+Overview!$B$53)^-E$4),0),0)</f>
        <v>0</v>
      </c>
      <c r="AP90" s="89">
        <f>IF(F$16&gt;0,IF($AH89*F$14=F$4,-(F$16/F$5)*F$19*F$6*(1+Overview!$B$53)^-F$4+(F$22*F$6*(1+Overview!$B$53)^-F$4),0),0)</f>
        <v>0</v>
      </c>
      <c r="AQ90" s="95">
        <f>IF(G$16&gt;0,IF($AH89*G$14=G$4,-(G$16/G$5)*G$19*G$6*(1+Overview!$B$53)^-G$4+(G$22*G$6*(1+Overview!$B$53)^-G$4),0),0)</f>
        <v>0</v>
      </c>
      <c r="AR90" s="84"/>
      <c r="AS90" s="109">
        <f t="shared" si="31"/>
        <v>84</v>
      </c>
      <c r="AT90" s="94">
        <f>IF($AS90&lt;E$4,E$20*E$6*E$11*(1+Overview!$B$53)^-($AS90),0)</f>
        <v>0</v>
      </c>
      <c r="AU90" s="89">
        <f>IF($AS90&lt;F$4,F$20*F$6*F$11*(1+Overview!$B$53)^-($AS90),0)</f>
        <v>0</v>
      </c>
      <c r="AV90" s="89">
        <f>IF($AS90&lt;G$4,G$20*G$6*G$11*(1+Overview!$B$53)^-($AS90),0)</f>
        <v>0</v>
      </c>
      <c r="AW90" s="94">
        <f>IF(E$67=0,IF($AS90&lt;E$4,E$55*(1+Overview!$B$53)^-($AS90),0),IF($AS90&lt;E$4,E$67*(1+Overview!$B$53)^-($AS90),0))</f>
        <v>0</v>
      </c>
      <c r="AX90" s="89">
        <f>IF(F$67=0,IF($AS90&lt;F$4,F$55*(1+Overview!$B$53)^-($AS90),0),IF($AS90&lt;F$4,F$67*(1+Overview!$B$53)^-($AS90),0))</f>
        <v>0</v>
      </c>
      <c r="AY90" s="89">
        <f>IF(G$67=0,IF($AS90&lt;G$4,G$55*(1+Overview!$B$53)^-($AS90),0),IF($AS90&lt;G$4,G$67*(1+Overview!$B$53)^-($AS90),0))</f>
        <v>0</v>
      </c>
      <c r="AZ90" s="89">
        <f>IF(E$68=0,IF($AS90&lt;E$4,E$56*(1+Overview!$B$53)^-($AS90),0),IF($AS90&lt;E$4,E$68*(1+Overview!$B$53)^-($AS90),0))</f>
        <v>0</v>
      </c>
      <c r="BA90" s="89">
        <f>IF(F$68=0,IF($AS90&lt;F$4,F$56*(1+Overview!$B$53)^-($AS90),0),IF($AS90&lt;F$4,F$68*(1+Overview!$B$53)^-($AS90),0))</f>
        <v>0</v>
      </c>
      <c r="BB90" s="89">
        <f>IF(G$68=0,IF($AS90&lt;G$4,G$56*(1+Overview!$B$53)^-($AS90),0),IF($AS90&lt;G$4,G$68*(1+Overview!$B$53)^-($AS90),0))</f>
        <v>0</v>
      </c>
      <c r="BC90" s="89">
        <f>IF(E$69=0,IF($AS90&lt;E$4,E$57*(1+Overview!$B$53)^-($AS90),0),IF($AS90&lt;E$4,E$69*(1+Overview!$B$53)^-($AS90),0))</f>
        <v>0</v>
      </c>
      <c r="BD90" s="89">
        <f>IF(F$69=0,IF($AS90&lt;F$4,F$57*(1+Overview!$B$53)^-($AS90),0),IF($AS90&lt;F$4,F$69*(1+Overview!$B$53)^-($AS90),0))</f>
        <v>0</v>
      </c>
      <c r="BE90" s="95">
        <f>IF(G$69=0,IF($AS90&lt;G$4,G$57*(1+Overview!$B$53)^-($AS90),0),IF($AS90&lt;G$4,G$69*(1+Overview!$B$53)^-($AS90),0))</f>
        <v>0</v>
      </c>
      <c r="BF90" s="1"/>
    </row>
    <row r="91" spans="18:58" x14ac:dyDescent="0.3">
      <c r="R91" s="118">
        <f t="shared" si="28"/>
        <v>84</v>
      </c>
      <c r="S91" s="94">
        <f t="shared" si="32"/>
        <v>0</v>
      </c>
      <c r="T91" s="89">
        <f t="shared" si="32"/>
        <v>0</v>
      </c>
      <c r="U91" s="95">
        <f t="shared" si="32"/>
        <v>0</v>
      </c>
      <c r="V91" s="94">
        <f t="shared" si="33"/>
        <v>0</v>
      </c>
      <c r="W91" s="89">
        <f t="shared" si="33"/>
        <v>0</v>
      </c>
      <c r="X91" s="95">
        <f t="shared" si="33"/>
        <v>0</v>
      </c>
      <c r="Y91" s="89"/>
      <c r="Z91" s="118">
        <f t="shared" si="29"/>
        <v>85</v>
      </c>
      <c r="AA91" s="94">
        <f t="shared" si="34"/>
        <v>0</v>
      </c>
      <c r="AB91" s="89">
        <f t="shared" si="34"/>
        <v>0</v>
      </c>
      <c r="AC91" s="95">
        <f t="shared" si="34"/>
        <v>0</v>
      </c>
      <c r="AD91" s="94">
        <f t="shared" si="35"/>
        <v>0</v>
      </c>
      <c r="AE91" s="89">
        <f t="shared" si="35"/>
        <v>0</v>
      </c>
      <c r="AF91" s="95">
        <f t="shared" si="35"/>
        <v>0</v>
      </c>
      <c r="AG91" s="84"/>
      <c r="AH91" s="118">
        <f t="shared" si="30"/>
        <v>84</v>
      </c>
      <c r="AI91" s="94">
        <f>IF(E$5*$AH91&lt;E$5*E$14,(E$19*E$6*(1+Overview!$B$53)^-(E$5*$AH91)),0)</f>
        <v>0</v>
      </c>
      <c r="AJ91" s="89">
        <f>IF(F$5*$AH91&lt;F$5*F$14,(F$19*F$6*(1+Overview!$B$53)^-(F$5*$AH91)),0)</f>
        <v>0</v>
      </c>
      <c r="AK91" s="95">
        <f>IF(G$5*$AH91&lt;G$5*G$14,(G$19*G$6*(1+Overview!$B$53)^-(G$5*$AH91)),0)</f>
        <v>0</v>
      </c>
      <c r="AL91" s="94">
        <f>IF($AH91=0,0,IF(E$5*$AH91&lt;=E$5*E$14,(E$22*E$6*(1+Overview!$B$53)^-(E$5*$AH91)),0))</f>
        <v>0</v>
      </c>
      <c r="AM91" s="89">
        <f>IF($AH91=0,0,IF(F$5*$AH91&lt;=F$5*F$14,(F$22*F$6*(1+Overview!$B$53)^-(F$5*$AH91)),0))</f>
        <v>0</v>
      </c>
      <c r="AN91" s="95">
        <f>IF($AH91=0,0,IF(G$5*$AH91&lt;=G$5*G$14,(G$22*G$6*(1+Overview!$B$53)^-(G$5*$AH91)),0))</f>
        <v>0</v>
      </c>
      <c r="AO91" s="94">
        <f>IF(E$16&gt;0,IF($AH90*E$14=E$4,-(E$16/E$5)*E$19*E$6*(1+Overview!$B$53)^-E$4+(E$22*E$6*(1+Overview!$B$53)^-E$4),0),0)</f>
        <v>0</v>
      </c>
      <c r="AP91" s="89">
        <f>IF(F$16&gt;0,IF($AH90*F$14=F$4,-(F$16/F$5)*F$19*F$6*(1+Overview!$B$53)^-F$4+(F$22*F$6*(1+Overview!$B$53)^-F$4),0),0)</f>
        <v>0</v>
      </c>
      <c r="AQ91" s="95">
        <f>IF(G$16&gt;0,IF($AH90*G$14=G$4,-(G$16/G$5)*G$19*G$6*(1+Overview!$B$53)^-G$4+(G$22*G$6*(1+Overview!$B$53)^-G$4),0),0)</f>
        <v>0</v>
      </c>
      <c r="AR91" s="84"/>
      <c r="AS91" s="109">
        <f t="shared" si="31"/>
        <v>85</v>
      </c>
      <c r="AT91" s="94">
        <f>IF($AS91&lt;E$4,E$20*E$6*E$11*(1+Overview!$B$53)^-($AS91),0)</f>
        <v>0</v>
      </c>
      <c r="AU91" s="89">
        <f>IF($AS91&lt;F$4,F$20*F$6*F$11*(1+Overview!$B$53)^-($AS91),0)</f>
        <v>0</v>
      </c>
      <c r="AV91" s="89">
        <f>IF($AS91&lt;G$4,G$20*G$6*G$11*(1+Overview!$B$53)^-($AS91),0)</f>
        <v>0</v>
      </c>
      <c r="AW91" s="94">
        <f>IF(E$67=0,IF($AS91&lt;E$4,E$55*(1+Overview!$B$53)^-($AS91),0),IF($AS91&lt;E$4,E$67*(1+Overview!$B$53)^-($AS91),0))</f>
        <v>0</v>
      </c>
      <c r="AX91" s="89">
        <f>IF(F$67=0,IF($AS91&lt;F$4,F$55*(1+Overview!$B$53)^-($AS91),0),IF($AS91&lt;F$4,F$67*(1+Overview!$B$53)^-($AS91),0))</f>
        <v>0</v>
      </c>
      <c r="AY91" s="89">
        <f>IF(G$67=0,IF($AS91&lt;G$4,G$55*(1+Overview!$B$53)^-($AS91),0),IF($AS91&lt;G$4,G$67*(1+Overview!$B$53)^-($AS91),0))</f>
        <v>0</v>
      </c>
      <c r="AZ91" s="89">
        <f>IF(E$68=0,IF($AS91&lt;E$4,E$56*(1+Overview!$B$53)^-($AS91),0),IF($AS91&lt;E$4,E$68*(1+Overview!$B$53)^-($AS91),0))</f>
        <v>0</v>
      </c>
      <c r="BA91" s="89">
        <f>IF(F$68=0,IF($AS91&lt;F$4,F$56*(1+Overview!$B$53)^-($AS91),0),IF($AS91&lt;F$4,F$68*(1+Overview!$B$53)^-($AS91),0))</f>
        <v>0</v>
      </c>
      <c r="BB91" s="89">
        <f>IF(G$68=0,IF($AS91&lt;G$4,G$56*(1+Overview!$B$53)^-($AS91),0),IF($AS91&lt;G$4,G$68*(1+Overview!$B$53)^-($AS91),0))</f>
        <v>0</v>
      </c>
      <c r="BC91" s="89">
        <f>IF(E$69=0,IF($AS91&lt;E$4,E$57*(1+Overview!$B$53)^-($AS91),0),IF($AS91&lt;E$4,E$69*(1+Overview!$B$53)^-($AS91),0))</f>
        <v>0</v>
      </c>
      <c r="BD91" s="89">
        <f>IF(F$69=0,IF($AS91&lt;F$4,F$57*(1+Overview!$B$53)^-($AS91),0),IF($AS91&lt;F$4,F$69*(1+Overview!$B$53)^-($AS91),0))</f>
        <v>0</v>
      </c>
      <c r="BE91" s="95">
        <f>IF(G$69=0,IF($AS91&lt;G$4,G$57*(1+Overview!$B$53)^-($AS91),0),IF($AS91&lt;G$4,G$69*(1+Overview!$B$53)^-($AS91),0))</f>
        <v>0</v>
      </c>
      <c r="BF91" s="1"/>
    </row>
    <row r="92" spans="18:58" x14ac:dyDescent="0.3">
      <c r="R92" s="118">
        <f t="shared" si="28"/>
        <v>85</v>
      </c>
      <c r="S92" s="94">
        <f t="shared" si="32"/>
        <v>0</v>
      </c>
      <c r="T92" s="89">
        <f t="shared" si="32"/>
        <v>0</v>
      </c>
      <c r="U92" s="95">
        <f t="shared" si="32"/>
        <v>0</v>
      </c>
      <c r="V92" s="94">
        <f t="shared" si="33"/>
        <v>0</v>
      </c>
      <c r="W92" s="89">
        <f t="shared" si="33"/>
        <v>0</v>
      </c>
      <c r="X92" s="95">
        <f t="shared" si="33"/>
        <v>0</v>
      </c>
      <c r="Y92" s="89"/>
      <c r="Z92" s="118">
        <f t="shared" si="29"/>
        <v>86</v>
      </c>
      <c r="AA92" s="94">
        <f t="shared" si="34"/>
        <v>0</v>
      </c>
      <c r="AB92" s="89">
        <f t="shared" si="34"/>
        <v>0</v>
      </c>
      <c r="AC92" s="95">
        <f t="shared" si="34"/>
        <v>0</v>
      </c>
      <c r="AD92" s="94">
        <f t="shared" si="35"/>
        <v>0</v>
      </c>
      <c r="AE92" s="89">
        <f t="shared" si="35"/>
        <v>0</v>
      </c>
      <c r="AF92" s="95">
        <f t="shared" si="35"/>
        <v>0</v>
      </c>
      <c r="AG92" s="84"/>
      <c r="AH92" s="118">
        <f t="shared" si="30"/>
        <v>85</v>
      </c>
      <c r="AI92" s="94">
        <f>IF(E$5*$AH92&lt;E$5*E$14,(E$19*E$6*(1+Overview!$B$53)^-(E$5*$AH92)),0)</f>
        <v>0</v>
      </c>
      <c r="AJ92" s="89">
        <f>IF(F$5*$AH92&lt;F$5*F$14,(F$19*F$6*(1+Overview!$B$53)^-(F$5*$AH92)),0)</f>
        <v>0</v>
      </c>
      <c r="AK92" s="95">
        <f>IF(G$5*$AH92&lt;G$5*G$14,(G$19*G$6*(1+Overview!$B$53)^-(G$5*$AH92)),0)</f>
        <v>0</v>
      </c>
      <c r="AL92" s="94">
        <f>IF($AH92=0,0,IF(E$5*$AH92&lt;=E$5*E$14,(E$22*E$6*(1+Overview!$B$53)^-(E$5*$AH92)),0))</f>
        <v>0</v>
      </c>
      <c r="AM92" s="89">
        <f>IF($AH92=0,0,IF(F$5*$AH92&lt;=F$5*F$14,(F$22*F$6*(1+Overview!$B$53)^-(F$5*$AH92)),0))</f>
        <v>0</v>
      </c>
      <c r="AN92" s="95">
        <f>IF($AH92=0,0,IF(G$5*$AH92&lt;=G$5*G$14,(G$22*G$6*(1+Overview!$B$53)^-(G$5*$AH92)),0))</f>
        <v>0</v>
      </c>
      <c r="AO92" s="94">
        <f>IF(E$16&gt;0,IF($AH91*E$14=E$4,-(E$16/E$5)*E$19*E$6*(1+Overview!$B$53)^-E$4+(E$22*E$6*(1+Overview!$B$53)^-E$4),0),0)</f>
        <v>0</v>
      </c>
      <c r="AP92" s="89">
        <f>IF(F$16&gt;0,IF($AH91*F$14=F$4,-(F$16/F$5)*F$19*F$6*(1+Overview!$B$53)^-F$4+(F$22*F$6*(1+Overview!$B$53)^-F$4),0),0)</f>
        <v>0</v>
      </c>
      <c r="AQ92" s="95">
        <f>IF(G$16&gt;0,IF($AH91*G$14=G$4,-(G$16/G$5)*G$19*G$6*(1+Overview!$B$53)^-G$4+(G$22*G$6*(1+Overview!$B$53)^-G$4),0),0)</f>
        <v>0</v>
      </c>
      <c r="AR92" s="84"/>
      <c r="AS92" s="109">
        <f t="shared" si="31"/>
        <v>86</v>
      </c>
      <c r="AT92" s="94">
        <f>IF($AS92&lt;E$4,E$20*E$6*E$11*(1+Overview!$B$53)^-($AS92),0)</f>
        <v>0</v>
      </c>
      <c r="AU92" s="89">
        <f>IF($AS92&lt;F$4,F$20*F$6*F$11*(1+Overview!$B$53)^-($AS92),0)</f>
        <v>0</v>
      </c>
      <c r="AV92" s="89">
        <f>IF($AS92&lt;G$4,G$20*G$6*G$11*(1+Overview!$B$53)^-($AS92),0)</f>
        <v>0</v>
      </c>
      <c r="AW92" s="94">
        <f>IF(E$67=0,IF($AS92&lt;E$4,E$55*(1+Overview!$B$53)^-($AS92),0),IF($AS92&lt;E$4,E$67*(1+Overview!$B$53)^-($AS92),0))</f>
        <v>0</v>
      </c>
      <c r="AX92" s="89">
        <f>IF(F$67=0,IF($AS92&lt;F$4,F$55*(1+Overview!$B$53)^-($AS92),0),IF($AS92&lt;F$4,F$67*(1+Overview!$B$53)^-($AS92),0))</f>
        <v>0</v>
      </c>
      <c r="AY92" s="89">
        <f>IF(G$67=0,IF($AS92&lt;G$4,G$55*(1+Overview!$B$53)^-($AS92),0),IF($AS92&lt;G$4,G$67*(1+Overview!$B$53)^-($AS92),0))</f>
        <v>0</v>
      </c>
      <c r="AZ92" s="89">
        <f>IF(E$68=0,IF($AS92&lt;E$4,E$56*(1+Overview!$B$53)^-($AS92),0),IF($AS92&lt;E$4,E$68*(1+Overview!$B$53)^-($AS92),0))</f>
        <v>0</v>
      </c>
      <c r="BA92" s="89">
        <f>IF(F$68=0,IF($AS92&lt;F$4,F$56*(1+Overview!$B$53)^-($AS92),0),IF($AS92&lt;F$4,F$68*(1+Overview!$B$53)^-($AS92),0))</f>
        <v>0</v>
      </c>
      <c r="BB92" s="89">
        <f>IF(G$68=0,IF($AS92&lt;G$4,G$56*(1+Overview!$B$53)^-($AS92),0),IF($AS92&lt;G$4,G$68*(1+Overview!$B$53)^-($AS92),0))</f>
        <v>0</v>
      </c>
      <c r="BC92" s="89">
        <f>IF(E$69=0,IF($AS92&lt;E$4,E$57*(1+Overview!$B$53)^-($AS92),0),IF($AS92&lt;E$4,E$69*(1+Overview!$B$53)^-($AS92),0))</f>
        <v>0</v>
      </c>
      <c r="BD92" s="89">
        <f>IF(F$69=0,IF($AS92&lt;F$4,F$57*(1+Overview!$B$53)^-($AS92),0),IF($AS92&lt;F$4,F$69*(1+Overview!$B$53)^-($AS92),0))</f>
        <v>0</v>
      </c>
      <c r="BE92" s="95">
        <f>IF(G$69=0,IF($AS92&lt;G$4,G$57*(1+Overview!$B$53)^-($AS92),0),IF($AS92&lt;G$4,G$69*(1+Overview!$B$53)^-($AS92),0))</f>
        <v>0</v>
      </c>
      <c r="BF92" s="1"/>
    </row>
    <row r="93" spans="18:58" x14ac:dyDescent="0.3">
      <c r="R93" s="118">
        <f t="shared" si="28"/>
        <v>86</v>
      </c>
      <c r="S93" s="94">
        <f t="shared" si="32"/>
        <v>0</v>
      </c>
      <c r="T93" s="89">
        <f t="shared" si="32"/>
        <v>0</v>
      </c>
      <c r="U93" s="95">
        <f t="shared" si="32"/>
        <v>0</v>
      </c>
      <c r="V93" s="94">
        <f t="shared" si="33"/>
        <v>0</v>
      </c>
      <c r="W93" s="89">
        <f t="shared" si="33"/>
        <v>0</v>
      </c>
      <c r="X93" s="95">
        <f t="shared" si="33"/>
        <v>0</v>
      </c>
      <c r="Y93" s="89"/>
      <c r="Z93" s="118">
        <f t="shared" si="29"/>
        <v>87</v>
      </c>
      <c r="AA93" s="94">
        <f t="shared" si="34"/>
        <v>0</v>
      </c>
      <c r="AB93" s="89">
        <f t="shared" si="34"/>
        <v>0</v>
      </c>
      <c r="AC93" s="95">
        <f t="shared" si="34"/>
        <v>0</v>
      </c>
      <c r="AD93" s="94">
        <f t="shared" si="35"/>
        <v>0</v>
      </c>
      <c r="AE93" s="89">
        <f t="shared" si="35"/>
        <v>0</v>
      </c>
      <c r="AF93" s="95">
        <f t="shared" si="35"/>
        <v>0</v>
      </c>
      <c r="AG93" s="84"/>
      <c r="AH93" s="118">
        <f t="shared" si="30"/>
        <v>86</v>
      </c>
      <c r="AI93" s="94">
        <f>IF(E$5*$AH93&lt;E$5*E$14,(E$19*E$6*(1+Overview!$B$53)^-(E$5*$AH93)),0)</f>
        <v>0</v>
      </c>
      <c r="AJ93" s="89">
        <f>IF(F$5*$AH93&lt;F$5*F$14,(F$19*F$6*(1+Overview!$B$53)^-(F$5*$AH93)),0)</f>
        <v>0</v>
      </c>
      <c r="AK93" s="95">
        <f>IF(G$5*$AH93&lt;G$5*G$14,(G$19*G$6*(1+Overview!$B$53)^-(G$5*$AH93)),0)</f>
        <v>0</v>
      </c>
      <c r="AL93" s="94">
        <f>IF($AH93=0,0,IF(E$5*$AH93&lt;=E$5*E$14,(E$22*E$6*(1+Overview!$B$53)^-(E$5*$AH93)),0))</f>
        <v>0</v>
      </c>
      <c r="AM93" s="89">
        <f>IF($AH93=0,0,IF(F$5*$AH93&lt;=F$5*F$14,(F$22*F$6*(1+Overview!$B$53)^-(F$5*$AH93)),0))</f>
        <v>0</v>
      </c>
      <c r="AN93" s="95">
        <f>IF($AH93=0,0,IF(G$5*$AH93&lt;=G$5*G$14,(G$22*G$6*(1+Overview!$B$53)^-(G$5*$AH93)),0))</f>
        <v>0</v>
      </c>
      <c r="AO93" s="94">
        <f>IF(E$16&gt;0,IF($AH92*E$14=E$4,-(E$16/E$5)*E$19*E$6*(1+Overview!$B$53)^-E$4+(E$22*E$6*(1+Overview!$B$53)^-E$4),0),0)</f>
        <v>0</v>
      </c>
      <c r="AP93" s="89">
        <f>IF(F$16&gt;0,IF($AH92*F$14=F$4,-(F$16/F$5)*F$19*F$6*(1+Overview!$B$53)^-F$4+(F$22*F$6*(1+Overview!$B$53)^-F$4),0),0)</f>
        <v>0</v>
      </c>
      <c r="AQ93" s="95">
        <f>IF(G$16&gt;0,IF($AH92*G$14=G$4,-(G$16/G$5)*G$19*G$6*(1+Overview!$B$53)^-G$4+(G$22*G$6*(1+Overview!$B$53)^-G$4),0),0)</f>
        <v>0</v>
      </c>
      <c r="AR93" s="84"/>
      <c r="AS93" s="109">
        <f t="shared" si="31"/>
        <v>87</v>
      </c>
      <c r="AT93" s="94">
        <f>IF($AS93&lt;E$4,E$20*E$6*E$11*(1+Overview!$B$53)^-($AS93),0)</f>
        <v>0</v>
      </c>
      <c r="AU93" s="89">
        <f>IF($AS93&lt;F$4,F$20*F$6*F$11*(1+Overview!$B$53)^-($AS93),0)</f>
        <v>0</v>
      </c>
      <c r="AV93" s="89">
        <f>IF($AS93&lt;G$4,G$20*G$6*G$11*(1+Overview!$B$53)^-($AS93),0)</f>
        <v>0</v>
      </c>
      <c r="AW93" s="94">
        <f>IF(E$67=0,IF($AS93&lt;E$4,E$55*(1+Overview!$B$53)^-($AS93),0),IF($AS93&lt;E$4,E$67*(1+Overview!$B$53)^-($AS93),0))</f>
        <v>0</v>
      </c>
      <c r="AX93" s="89">
        <f>IF(F$67=0,IF($AS93&lt;F$4,F$55*(1+Overview!$B$53)^-($AS93),0),IF($AS93&lt;F$4,F$67*(1+Overview!$B$53)^-($AS93),0))</f>
        <v>0</v>
      </c>
      <c r="AY93" s="89">
        <f>IF(G$67=0,IF($AS93&lt;G$4,G$55*(1+Overview!$B$53)^-($AS93),0),IF($AS93&lt;G$4,G$67*(1+Overview!$B$53)^-($AS93),0))</f>
        <v>0</v>
      </c>
      <c r="AZ93" s="89">
        <f>IF(E$68=0,IF($AS93&lt;E$4,E$56*(1+Overview!$B$53)^-($AS93),0),IF($AS93&lt;E$4,E$68*(1+Overview!$B$53)^-($AS93),0))</f>
        <v>0</v>
      </c>
      <c r="BA93" s="89">
        <f>IF(F$68=0,IF($AS93&lt;F$4,F$56*(1+Overview!$B$53)^-($AS93),0),IF($AS93&lt;F$4,F$68*(1+Overview!$B$53)^-($AS93),0))</f>
        <v>0</v>
      </c>
      <c r="BB93" s="89">
        <f>IF(G$68=0,IF($AS93&lt;G$4,G$56*(1+Overview!$B$53)^-($AS93),0),IF($AS93&lt;G$4,G$68*(1+Overview!$B$53)^-($AS93),0))</f>
        <v>0</v>
      </c>
      <c r="BC93" s="89">
        <f>IF(E$69=0,IF($AS93&lt;E$4,E$57*(1+Overview!$B$53)^-($AS93),0),IF($AS93&lt;E$4,E$69*(1+Overview!$B$53)^-($AS93),0))</f>
        <v>0</v>
      </c>
      <c r="BD93" s="89">
        <f>IF(F$69=0,IF($AS93&lt;F$4,F$57*(1+Overview!$B$53)^-($AS93),0),IF($AS93&lt;F$4,F$69*(1+Overview!$B$53)^-($AS93),0))</f>
        <v>0</v>
      </c>
      <c r="BE93" s="95">
        <f>IF(G$69=0,IF($AS93&lt;G$4,G$57*(1+Overview!$B$53)^-($AS93),0),IF($AS93&lt;G$4,G$69*(1+Overview!$B$53)^-($AS93),0))</f>
        <v>0</v>
      </c>
      <c r="BF93" s="1"/>
    </row>
    <row r="94" spans="18:58" x14ac:dyDescent="0.3">
      <c r="R94" s="118">
        <f t="shared" si="28"/>
        <v>87</v>
      </c>
      <c r="S94" s="94">
        <f t="shared" si="32"/>
        <v>0</v>
      </c>
      <c r="T94" s="89">
        <f t="shared" si="32"/>
        <v>0</v>
      </c>
      <c r="U94" s="95">
        <f t="shared" si="32"/>
        <v>0</v>
      </c>
      <c r="V94" s="94">
        <f t="shared" si="33"/>
        <v>0</v>
      </c>
      <c r="W94" s="89">
        <f t="shared" si="33"/>
        <v>0</v>
      </c>
      <c r="X94" s="95">
        <f t="shared" si="33"/>
        <v>0</v>
      </c>
      <c r="Y94" s="89"/>
      <c r="Z94" s="118">
        <f t="shared" si="29"/>
        <v>88</v>
      </c>
      <c r="AA94" s="94">
        <f t="shared" si="34"/>
        <v>0</v>
      </c>
      <c r="AB94" s="89">
        <f t="shared" si="34"/>
        <v>0</v>
      </c>
      <c r="AC94" s="95">
        <f t="shared" si="34"/>
        <v>0</v>
      </c>
      <c r="AD94" s="94">
        <f t="shared" si="35"/>
        <v>0</v>
      </c>
      <c r="AE94" s="89">
        <f t="shared" si="35"/>
        <v>0</v>
      </c>
      <c r="AF94" s="95">
        <f t="shared" si="35"/>
        <v>0</v>
      </c>
      <c r="AG94" s="84"/>
      <c r="AH94" s="118">
        <f t="shared" si="30"/>
        <v>87</v>
      </c>
      <c r="AI94" s="94">
        <f>IF(E$5*$AH94&lt;E$5*E$14,(E$19*E$6*(1+Overview!$B$53)^-(E$5*$AH94)),0)</f>
        <v>0</v>
      </c>
      <c r="AJ94" s="89">
        <f>IF(F$5*$AH94&lt;F$5*F$14,(F$19*F$6*(1+Overview!$B$53)^-(F$5*$AH94)),0)</f>
        <v>0</v>
      </c>
      <c r="AK94" s="95">
        <f>IF(G$5*$AH94&lt;G$5*G$14,(G$19*G$6*(1+Overview!$B$53)^-(G$5*$AH94)),0)</f>
        <v>0</v>
      </c>
      <c r="AL94" s="94">
        <f>IF($AH94=0,0,IF(E$5*$AH94&lt;=E$5*E$14,(E$22*E$6*(1+Overview!$B$53)^-(E$5*$AH94)),0))</f>
        <v>0</v>
      </c>
      <c r="AM94" s="89">
        <f>IF($AH94=0,0,IF(F$5*$AH94&lt;=F$5*F$14,(F$22*F$6*(1+Overview!$B$53)^-(F$5*$AH94)),0))</f>
        <v>0</v>
      </c>
      <c r="AN94" s="95">
        <f>IF($AH94=0,0,IF(G$5*$AH94&lt;=G$5*G$14,(G$22*G$6*(1+Overview!$B$53)^-(G$5*$AH94)),0))</f>
        <v>0</v>
      </c>
      <c r="AO94" s="94">
        <f>IF(E$16&gt;0,IF($AH93*E$14=E$4,-(E$16/E$5)*E$19*E$6*(1+Overview!$B$53)^-E$4+(E$22*E$6*(1+Overview!$B$53)^-E$4),0),0)</f>
        <v>0</v>
      </c>
      <c r="AP94" s="89">
        <f>IF(F$16&gt;0,IF($AH93*F$14=F$4,-(F$16/F$5)*F$19*F$6*(1+Overview!$B$53)^-F$4+(F$22*F$6*(1+Overview!$B$53)^-F$4),0),0)</f>
        <v>0</v>
      </c>
      <c r="AQ94" s="95">
        <f>IF(G$16&gt;0,IF($AH93*G$14=G$4,-(G$16/G$5)*G$19*G$6*(1+Overview!$B$53)^-G$4+(G$22*G$6*(1+Overview!$B$53)^-G$4),0),0)</f>
        <v>0</v>
      </c>
      <c r="AR94" s="84"/>
      <c r="AS94" s="109">
        <f t="shared" si="31"/>
        <v>88</v>
      </c>
      <c r="AT94" s="94">
        <f>IF($AS94&lt;E$4,E$20*E$6*E$11*(1+Overview!$B$53)^-($AS94),0)</f>
        <v>0</v>
      </c>
      <c r="AU94" s="89">
        <f>IF($AS94&lt;F$4,F$20*F$6*F$11*(1+Overview!$B$53)^-($AS94),0)</f>
        <v>0</v>
      </c>
      <c r="AV94" s="89">
        <f>IF($AS94&lt;G$4,G$20*G$6*G$11*(1+Overview!$B$53)^-($AS94),0)</f>
        <v>0</v>
      </c>
      <c r="AW94" s="94">
        <f>IF(E$67=0,IF($AS94&lt;E$4,E$55*(1+Overview!$B$53)^-($AS94),0),IF($AS94&lt;E$4,E$67*(1+Overview!$B$53)^-($AS94),0))</f>
        <v>0</v>
      </c>
      <c r="AX94" s="89">
        <f>IF(F$67=0,IF($AS94&lt;F$4,F$55*(1+Overview!$B$53)^-($AS94),0),IF($AS94&lt;F$4,F$67*(1+Overview!$B$53)^-($AS94),0))</f>
        <v>0</v>
      </c>
      <c r="AY94" s="89">
        <f>IF(G$67=0,IF($AS94&lt;G$4,G$55*(1+Overview!$B$53)^-($AS94),0),IF($AS94&lt;G$4,G$67*(1+Overview!$B$53)^-($AS94),0))</f>
        <v>0</v>
      </c>
      <c r="AZ94" s="89">
        <f>IF(E$68=0,IF($AS94&lt;E$4,E$56*(1+Overview!$B$53)^-($AS94),0),IF($AS94&lt;E$4,E$68*(1+Overview!$B$53)^-($AS94),0))</f>
        <v>0</v>
      </c>
      <c r="BA94" s="89">
        <f>IF(F$68=0,IF($AS94&lt;F$4,F$56*(1+Overview!$B$53)^-($AS94),0),IF($AS94&lt;F$4,F$68*(1+Overview!$B$53)^-($AS94),0))</f>
        <v>0</v>
      </c>
      <c r="BB94" s="89">
        <f>IF(G$68=0,IF($AS94&lt;G$4,G$56*(1+Overview!$B$53)^-($AS94),0),IF($AS94&lt;G$4,G$68*(1+Overview!$B$53)^-($AS94),0))</f>
        <v>0</v>
      </c>
      <c r="BC94" s="89">
        <f>IF(E$69=0,IF($AS94&lt;E$4,E$57*(1+Overview!$B$53)^-($AS94),0),IF($AS94&lt;E$4,E$69*(1+Overview!$B$53)^-($AS94),0))</f>
        <v>0</v>
      </c>
      <c r="BD94" s="89">
        <f>IF(F$69=0,IF($AS94&lt;F$4,F$57*(1+Overview!$B$53)^-($AS94),0),IF($AS94&lt;F$4,F$69*(1+Overview!$B$53)^-($AS94),0))</f>
        <v>0</v>
      </c>
      <c r="BE94" s="95">
        <f>IF(G$69=0,IF($AS94&lt;G$4,G$57*(1+Overview!$B$53)^-($AS94),0),IF($AS94&lt;G$4,G$69*(1+Overview!$B$53)^-($AS94),0))</f>
        <v>0</v>
      </c>
      <c r="BF94" s="1"/>
    </row>
    <row r="95" spans="18:58" x14ac:dyDescent="0.3">
      <c r="R95" s="118">
        <f t="shared" si="28"/>
        <v>88</v>
      </c>
      <c r="S95" s="94">
        <f t="shared" si="32"/>
        <v>0</v>
      </c>
      <c r="T95" s="89">
        <f t="shared" si="32"/>
        <v>0</v>
      </c>
      <c r="U95" s="95">
        <f t="shared" si="32"/>
        <v>0</v>
      </c>
      <c r="V95" s="94">
        <f t="shared" si="33"/>
        <v>0</v>
      </c>
      <c r="W95" s="89">
        <f t="shared" si="33"/>
        <v>0</v>
      </c>
      <c r="X95" s="95">
        <f t="shared" si="33"/>
        <v>0</v>
      </c>
      <c r="Y95" s="89"/>
      <c r="Z95" s="118">
        <f t="shared" si="29"/>
        <v>89</v>
      </c>
      <c r="AA95" s="94">
        <f t="shared" si="34"/>
        <v>0</v>
      </c>
      <c r="AB95" s="89">
        <f t="shared" si="34"/>
        <v>0</v>
      </c>
      <c r="AC95" s="95">
        <f t="shared" si="34"/>
        <v>0</v>
      </c>
      <c r="AD95" s="94">
        <f t="shared" si="35"/>
        <v>0</v>
      </c>
      <c r="AE95" s="89">
        <f t="shared" si="35"/>
        <v>0</v>
      </c>
      <c r="AF95" s="95">
        <f t="shared" si="35"/>
        <v>0</v>
      </c>
      <c r="AG95" s="84"/>
      <c r="AH95" s="118">
        <f t="shared" si="30"/>
        <v>88</v>
      </c>
      <c r="AI95" s="94">
        <f>IF(E$5*$AH95&lt;E$5*E$14,(E$19*E$6*(1+Overview!$B$53)^-(E$5*$AH95)),0)</f>
        <v>0</v>
      </c>
      <c r="AJ95" s="89">
        <f>IF(F$5*$AH95&lt;F$5*F$14,(F$19*F$6*(1+Overview!$B$53)^-(F$5*$AH95)),0)</f>
        <v>0</v>
      </c>
      <c r="AK95" s="95">
        <f>IF(G$5*$AH95&lt;G$5*G$14,(G$19*G$6*(1+Overview!$B$53)^-(G$5*$AH95)),0)</f>
        <v>0</v>
      </c>
      <c r="AL95" s="94">
        <f>IF($AH95=0,0,IF(E$5*$AH95&lt;=E$5*E$14,(E$22*E$6*(1+Overview!$B$53)^-(E$5*$AH95)),0))</f>
        <v>0</v>
      </c>
      <c r="AM95" s="89">
        <f>IF($AH95=0,0,IF(F$5*$AH95&lt;=F$5*F$14,(F$22*F$6*(1+Overview!$B$53)^-(F$5*$AH95)),0))</f>
        <v>0</v>
      </c>
      <c r="AN95" s="95">
        <f>IF($AH95=0,0,IF(G$5*$AH95&lt;=G$5*G$14,(G$22*G$6*(1+Overview!$B$53)^-(G$5*$AH95)),0))</f>
        <v>0</v>
      </c>
      <c r="AO95" s="94">
        <f>IF(E$16&gt;0,IF($AH94*E$14=E$4,-(E$16/E$5)*E$19*E$6*(1+Overview!$B$53)^-E$4+(E$22*E$6*(1+Overview!$B$53)^-E$4),0),0)</f>
        <v>0</v>
      </c>
      <c r="AP95" s="89">
        <f>IF(F$16&gt;0,IF($AH94*F$14=F$4,-(F$16/F$5)*F$19*F$6*(1+Overview!$B$53)^-F$4+(F$22*F$6*(1+Overview!$B$53)^-F$4),0),0)</f>
        <v>0</v>
      </c>
      <c r="AQ95" s="95">
        <f>IF(G$16&gt;0,IF($AH94*G$14=G$4,-(G$16/G$5)*G$19*G$6*(1+Overview!$B$53)^-G$4+(G$22*G$6*(1+Overview!$B$53)^-G$4),0),0)</f>
        <v>0</v>
      </c>
      <c r="AR95" s="84"/>
      <c r="AS95" s="109">
        <f t="shared" si="31"/>
        <v>89</v>
      </c>
      <c r="AT95" s="94">
        <f>IF($AS95&lt;E$4,E$20*E$6*E$11*(1+Overview!$B$53)^-($AS95),0)</f>
        <v>0</v>
      </c>
      <c r="AU95" s="89">
        <f>IF($AS95&lt;F$4,F$20*F$6*F$11*(1+Overview!$B$53)^-($AS95),0)</f>
        <v>0</v>
      </c>
      <c r="AV95" s="89">
        <f>IF($AS95&lt;G$4,G$20*G$6*G$11*(1+Overview!$B$53)^-($AS95),0)</f>
        <v>0</v>
      </c>
      <c r="AW95" s="94">
        <f>IF(E$67=0,IF($AS95&lt;E$4,E$55*(1+Overview!$B$53)^-($AS95),0),IF($AS95&lt;E$4,E$67*(1+Overview!$B$53)^-($AS95),0))</f>
        <v>0</v>
      </c>
      <c r="AX95" s="89">
        <f>IF(F$67=0,IF($AS95&lt;F$4,F$55*(1+Overview!$B$53)^-($AS95),0),IF($AS95&lt;F$4,F$67*(1+Overview!$B$53)^-($AS95),0))</f>
        <v>0</v>
      </c>
      <c r="AY95" s="89">
        <f>IF(G$67=0,IF($AS95&lt;G$4,G$55*(1+Overview!$B$53)^-($AS95),0),IF($AS95&lt;G$4,G$67*(1+Overview!$B$53)^-($AS95),0))</f>
        <v>0</v>
      </c>
      <c r="AZ95" s="89">
        <f>IF(E$68=0,IF($AS95&lt;E$4,E$56*(1+Overview!$B$53)^-($AS95),0),IF($AS95&lt;E$4,E$68*(1+Overview!$B$53)^-($AS95),0))</f>
        <v>0</v>
      </c>
      <c r="BA95" s="89">
        <f>IF(F$68=0,IF($AS95&lt;F$4,F$56*(1+Overview!$B$53)^-($AS95),0),IF($AS95&lt;F$4,F$68*(1+Overview!$B$53)^-($AS95),0))</f>
        <v>0</v>
      </c>
      <c r="BB95" s="89">
        <f>IF(G$68=0,IF($AS95&lt;G$4,G$56*(1+Overview!$B$53)^-($AS95),0),IF($AS95&lt;G$4,G$68*(1+Overview!$B$53)^-($AS95),0))</f>
        <v>0</v>
      </c>
      <c r="BC95" s="89">
        <f>IF(E$69=0,IF($AS95&lt;E$4,E$57*(1+Overview!$B$53)^-($AS95),0),IF($AS95&lt;E$4,E$69*(1+Overview!$B$53)^-($AS95),0))</f>
        <v>0</v>
      </c>
      <c r="BD95" s="89">
        <f>IF(F$69=0,IF($AS95&lt;F$4,F$57*(1+Overview!$B$53)^-($AS95),0),IF($AS95&lt;F$4,F$69*(1+Overview!$B$53)^-($AS95),0))</f>
        <v>0</v>
      </c>
      <c r="BE95" s="95">
        <f>IF(G$69=0,IF($AS95&lt;G$4,G$57*(1+Overview!$B$53)^-($AS95),0),IF($AS95&lt;G$4,G$69*(1+Overview!$B$53)^-($AS95),0))</f>
        <v>0</v>
      </c>
      <c r="BF95" s="1"/>
    </row>
    <row r="96" spans="18:58" x14ac:dyDescent="0.3">
      <c r="R96" s="118">
        <f t="shared" si="28"/>
        <v>89</v>
      </c>
      <c r="S96" s="94">
        <f t="shared" si="32"/>
        <v>0</v>
      </c>
      <c r="T96" s="89">
        <f t="shared" si="32"/>
        <v>0</v>
      </c>
      <c r="U96" s="95">
        <f t="shared" si="32"/>
        <v>0</v>
      </c>
      <c r="V96" s="94">
        <f t="shared" si="33"/>
        <v>0</v>
      </c>
      <c r="W96" s="89">
        <f t="shared" si="33"/>
        <v>0</v>
      </c>
      <c r="X96" s="95">
        <f t="shared" si="33"/>
        <v>0</v>
      </c>
      <c r="Y96" s="89"/>
      <c r="Z96" s="118">
        <f t="shared" si="29"/>
        <v>90</v>
      </c>
      <c r="AA96" s="94">
        <f t="shared" si="34"/>
        <v>0</v>
      </c>
      <c r="AB96" s="89">
        <f t="shared" si="34"/>
        <v>0</v>
      </c>
      <c r="AC96" s="95">
        <f t="shared" si="34"/>
        <v>0</v>
      </c>
      <c r="AD96" s="94">
        <f t="shared" si="35"/>
        <v>0</v>
      </c>
      <c r="AE96" s="89">
        <f t="shared" si="35"/>
        <v>0</v>
      </c>
      <c r="AF96" s="95">
        <f t="shared" si="35"/>
        <v>0</v>
      </c>
      <c r="AG96" s="84"/>
      <c r="AH96" s="118">
        <f t="shared" si="30"/>
        <v>89</v>
      </c>
      <c r="AI96" s="94">
        <f>IF(E$5*$AH96&lt;E$5*E$14,(E$19*E$6*(1+Overview!$B$53)^-(E$5*$AH96)),0)</f>
        <v>0</v>
      </c>
      <c r="AJ96" s="89">
        <f>IF(F$5*$AH96&lt;F$5*F$14,(F$19*F$6*(1+Overview!$B$53)^-(F$5*$AH96)),0)</f>
        <v>0</v>
      </c>
      <c r="AK96" s="95">
        <f>IF(G$5*$AH96&lt;G$5*G$14,(G$19*G$6*(1+Overview!$B$53)^-(G$5*$AH96)),0)</f>
        <v>0</v>
      </c>
      <c r="AL96" s="94">
        <f>IF($AH96=0,0,IF(E$5*$AH96&lt;=E$5*E$14,(E$22*E$6*(1+Overview!$B$53)^-(E$5*$AH96)),0))</f>
        <v>0</v>
      </c>
      <c r="AM96" s="89">
        <f>IF($AH96=0,0,IF(F$5*$AH96&lt;=F$5*F$14,(F$22*F$6*(1+Overview!$B$53)^-(F$5*$AH96)),0))</f>
        <v>0</v>
      </c>
      <c r="AN96" s="95">
        <f>IF($AH96=0,0,IF(G$5*$AH96&lt;=G$5*G$14,(G$22*G$6*(1+Overview!$B$53)^-(G$5*$AH96)),0))</f>
        <v>0</v>
      </c>
      <c r="AO96" s="94">
        <f>IF(E$16&gt;0,IF($AH95*E$14=E$4,-(E$16/E$5)*E$19*E$6*(1+Overview!$B$53)^-E$4+(E$22*E$6*(1+Overview!$B$53)^-E$4),0),0)</f>
        <v>0</v>
      </c>
      <c r="AP96" s="89">
        <f>IF(F$16&gt;0,IF($AH95*F$14=F$4,-(F$16/F$5)*F$19*F$6*(1+Overview!$B$53)^-F$4+(F$22*F$6*(1+Overview!$B$53)^-F$4),0),0)</f>
        <v>0</v>
      </c>
      <c r="AQ96" s="95">
        <f>IF(G$16&gt;0,IF($AH95*G$14=G$4,-(G$16/G$5)*G$19*G$6*(1+Overview!$B$53)^-G$4+(G$22*G$6*(1+Overview!$B$53)^-G$4),0),0)</f>
        <v>0</v>
      </c>
      <c r="AR96" s="84"/>
      <c r="AS96" s="109">
        <f t="shared" si="31"/>
        <v>90</v>
      </c>
      <c r="AT96" s="94">
        <f>IF($AS96&lt;E$4,E$20*E$6*E$11*(1+Overview!$B$53)^-($AS96),0)</f>
        <v>0</v>
      </c>
      <c r="AU96" s="89">
        <f>IF($AS96&lt;F$4,F$20*F$6*F$11*(1+Overview!$B$53)^-($AS96),0)</f>
        <v>0</v>
      </c>
      <c r="AV96" s="89">
        <f>IF($AS96&lt;G$4,G$20*G$6*G$11*(1+Overview!$B$53)^-($AS96),0)</f>
        <v>0</v>
      </c>
      <c r="AW96" s="94">
        <f>IF(E$67=0,IF($AS96&lt;E$4,E$55*(1+Overview!$B$53)^-($AS96),0),IF($AS96&lt;E$4,E$67*(1+Overview!$B$53)^-($AS96),0))</f>
        <v>0</v>
      </c>
      <c r="AX96" s="89">
        <f>IF(F$67=0,IF($AS96&lt;F$4,F$55*(1+Overview!$B$53)^-($AS96),0),IF($AS96&lt;F$4,F$67*(1+Overview!$B$53)^-($AS96),0))</f>
        <v>0</v>
      </c>
      <c r="AY96" s="89">
        <f>IF(G$67=0,IF($AS96&lt;G$4,G$55*(1+Overview!$B$53)^-($AS96),0),IF($AS96&lt;G$4,G$67*(1+Overview!$B$53)^-($AS96),0))</f>
        <v>0</v>
      </c>
      <c r="AZ96" s="89">
        <f>IF(E$68=0,IF($AS96&lt;E$4,E$56*(1+Overview!$B$53)^-($AS96),0),IF($AS96&lt;E$4,E$68*(1+Overview!$B$53)^-($AS96),0))</f>
        <v>0</v>
      </c>
      <c r="BA96" s="89">
        <f>IF(F$68=0,IF($AS96&lt;F$4,F$56*(1+Overview!$B$53)^-($AS96),0),IF($AS96&lt;F$4,F$68*(1+Overview!$B$53)^-($AS96),0))</f>
        <v>0</v>
      </c>
      <c r="BB96" s="89">
        <f>IF(G$68=0,IF($AS96&lt;G$4,G$56*(1+Overview!$B$53)^-($AS96),0),IF($AS96&lt;G$4,G$68*(1+Overview!$B$53)^-($AS96),0))</f>
        <v>0</v>
      </c>
      <c r="BC96" s="89">
        <f>IF(E$69=0,IF($AS96&lt;E$4,E$57*(1+Overview!$B$53)^-($AS96),0),IF($AS96&lt;E$4,E$69*(1+Overview!$B$53)^-($AS96),0))</f>
        <v>0</v>
      </c>
      <c r="BD96" s="89">
        <f>IF(F$69=0,IF($AS96&lt;F$4,F$57*(1+Overview!$B$53)^-($AS96),0),IF($AS96&lt;F$4,F$69*(1+Overview!$B$53)^-($AS96),0))</f>
        <v>0</v>
      </c>
      <c r="BE96" s="95">
        <f>IF(G$69=0,IF($AS96&lt;G$4,G$57*(1+Overview!$B$53)^-($AS96),0),IF($AS96&lt;G$4,G$69*(1+Overview!$B$53)^-($AS96),0))</f>
        <v>0</v>
      </c>
      <c r="BF96" s="1"/>
    </row>
    <row r="97" spans="18:58" x14ac:dyDescent="0.3">
      <c r="R97" s="118">
        <f t="shared" si="28"/>
        <v>90</v>
      </c>
      <c r="S97" s="94">
        <f t="shared" si="32"/>
        <v>0</v>
      </c>
      <c r="T97" s="89">
        <f t="shared" si="32"/>
        <v>0</v>
      </c>
      <c r="U97" s="95">
        <f t="shared" si="32"/>
        <v>0</v>
      </c>
      <c r="V97" s="94">
        <f t="shared" si="33"/>
        <v>0</v>
      </c>
      <c r="W97" s="89">
        <f t="shared" si="33"/>
        <v>0</v>
      </c>
      <c r="X97" s="95">
        <f t="shared" si="33"/>
        <v>0</v>
      </c>
      <c r="Y97" s="89"/>
      <c r="Z97" s="118">
        <f t="shared" si="29"/>
        <v>91</v>
      </c>
      <c r="AA97" s="94">
        <f t="shared" si="34"/>
        <v>0</v>
      </c>
      <c r="AB97" s="89">
        <f t="shared" si="34"/>
        <v>0</v>
      </c>
      <c r="AC97" s="95">
        <f t="shared" si="34"/>
        <v>0</v>
      </c>
      <c r="AD97" s="94">
        <f t="shared" si="35"/>
        <v>0</v>
      </c>
      <c r="AE97" s="89">
        <f t="shared" si="35"/>
        <v>0</v>
      </c>
      <c r="AF97" s="95">
        <f t="shared" si="35"/>
        <v>0</v>
      </c>
      <c r="AG97" s="84"/>
      <c r="AH97" s="118">
        <f t="shared" si="30"/>
        <v>90</v>
      </c>
      <c r="AI97" s="94">
        <f>IF(E$5*$AH97&lt;E$5*E$14,(E$19*E$6*(1+Overview!$B$53)^-(E$5*$AH97)),0)</f>
        <v>0</v>
      </c>
      <c r="AJ97" s="89">
        <f>IF(F$5*$AH97&lt;F$5*F$14,(F$19*F$6*(1+Overview!$B$53)^-(F$5*$AH97)),0)</f>
        <v>0</v>
      </c>
      <c r="AK97" s="95">
        <f>IF(G$5*$AH97&lt;G$5*G$14,(G$19*G$6*(1+Overview!$B$53)^-(G$5*$AH97)),0)</f>
        <v>0</v>
      </c>
      <c r="AL97" s="94">
        <f>IF($AH97=0,0,IF(E$5*$AH97&lt;=E$5*E$14,(E$22*E$6*(1+Overview!$B$53)^-(E$5*$AH97)),0))</f>
        <v>0</v>
      </c>
      <c r="AM97" s="89">
        <f>IF($AH97=0,0,IF(F$5*$AH97&lt;=F$5*F$14,(F$22*F$6*(1+Overview!$B$53)^-(F$5*$AH97)),0))</f>
        <v>0</v>
      </c>
      <c r="AN97" s="95">
        <f>IF($AH97=0,0,IF(G$5*$AH97&lt;=G$5*G$14,(G$22*G$6*(1+Overview!$B$53)^-(G$5*$AH97)),0))</f>
        <v>0</v>
      </c>
      <c r="AO97" s="94">
        <f>IF(E$16&gt;0,IF($AH96*E$14=E$4,-(E$16/E$5)*E$19*E$6*(1+Overview!$B$53)^-E$4+(E$22*E$6*(1+Overview!$B$53)^-E$4),0),0)</f>
        <v>0</v>
      </c>
      <c r="AP97" s="89">
        <f>IF(F$16&gt;0,IF($AH96*F$14=F$4,-(F$16/F$5)*F$19*F$6*(1+Overview!$B$53)^-F$4+(F$22*F$6*(1+Overview!$B$53)^-F$4),0),0)</f>
        <v>0</v>
      </c>
      <c r="AQ97" s="95">
        <f>IF(G$16&gt;0,IF($AH96*G$14=G$4,-(G$16/G$5)*G$19*G$6*(1+Overview!$B$53)^-G$4+(G$22*G$6*(1+Overview!$B$53)^-G$4),0),0)</f>
        <v>0</v>
      </c>
      <c r="AR97" s="84"/>
      <c r="AS97" s="109">
        <f t="shared" si="31"/>
        <v>91</v>
      </c>
      <c r="AT97" s="94">
        <f>IF($AS97&lt;E$4,E$20*E$6*E$11*(1+Overview!$B$53)^-($AS97),0)</f>
        <v>0</v>
      </c>
      <c r="AU97" s="89">
        <f>IF($AS97&lt;F$4,F$20*F$6*F$11*(1+Overview!$B$53)^-($AS97),0)</f>
        <v>0</v>
      </c>
      <c r="AV97" s="89">
        <f>IF($AS97&lt;G$4,G$20*G$6*G$11*(1+Overview!$B$53)^-($AS97),0)</f>
        <v>0</v>
      </c>
      <c r="AW97" s="94">
        <f>IF(E$67=0,IF($AS97&lt;E$4,E$55*(1+Overview!$B$53)^-($AS97),0),IF($AS97&lt;E$4,E$67*(1+Overview!$B$53)^-($AS97),0))</f>
        <v>0</v>
      </c>
      <c r="AX97" s="89">
        <f>IF(F$67=0,IF($AS97&lt;F$4,F$55*(1+Overview!$B$53)^-($AS97),0),IF($AS97&lt;F$4,F$67*(1+Overview!$B$53)^-($AS97),0))</f>
        <v>0</v>
      </c>
      <c r="AY97" s="89">
        <f>IF(G$67=0,IF($AS97&lt;G$4,G$55*(1+Overview!$B$53)^-($AS97),0),IF($AS97&lt;G$4,G$67*(1+Overview!$B$53)^-($AS97),0))</f>
        <v>0</v>
      </c>
      <c r="AZ97" s="89">
        <f>IF(E$68=0,IF($AS97&lt;E$4,E$56*(1+Overview!$B$53)^-($AS97),0),IF($AS97&lt;E$4,E$68*(1+Overview!$B$53)^-($AS97),0))</f>
        <v>0</v>
      </c>
      <c r="BA97" s="89">
        <f>IF(F$68=0,IF($AS97&lt;F$4,F$56*(1+Overview!$B$53)^-($AS97),0),IF($AS97&lt;F$4,F$68*(1+Overview!$B$53)^-($AS97),0))</f>
        <v>0</v>
      </c>
      <c r="BB97" s="89">
        <f>IF(G$68=0,IF($AS97&lt;G$4,G$56*(1+Overview!$B$53)^-($AS97),0),IF($AS97&lt;G$4,G$68*(1+Overview!$B$53)^-($AS97),0))</f>
        <v>0</v>
      </c>
      <c r="BC97" s="89">
        <f>IF(E$69=0,IF($AS97&lt;E$4,E$57*(1+Overview!$B$53)^-($AS97),0),IF($AS97&lt;E$4,E$69*(1+Overview!$B$53)^-($AS97),0))</f>
        <v>0</v>
      </c>
      <c r="BD97" s="89">
        <f>IF(F$69=0,IF($AS97&lt;F$4,F$57*(1+Overview!$B$53)^-($AS97),0),IF($AS97&lt;F$4,F$69*(1+Overview!$B$53)^-($AS97),0))</f>
        <v>0</v>
      </c>
      <c r="BE97" s="95">
        <f>IF(G$69=0,IF($AS97&lt;G$4,G$57*(1+Overview!$B$53)^-($AS97),0),IF($AS97&lt;G$4,G$69*(1+Overview!$B$53)^-($AS97),0))</f>
        <v>0</v>
      </c>
      <c r="BF97" s="1"/>
    </row>
    <row r="98" spans="18:58" x14ac:dyDescent="0.3">
      <c r="R98" s="118">
        <f t="shared" si="28"/>
        <v>91</v>
      </c>
      <c r="S98" s="94">
        <f t="shared" si="32"/>
        <v>0</v>
      </c>
      <c r="T98" s="89">
        <f t="shared" si="32"/>
        <v>0</v>
      </c>
      <c r="U98" s="95">
        <f t="shared" si="32"/>
        <v>0</v>
      </c>
      <c r="V98" s="94">
        <f t="shared" si="33"/>
        <v>0</v>
      </c>
      <c r="W98" s="89">
        <f t="shared" si="33"/>
        <v>0</v>
      </c>
      <c r="X98" s="95">
        <f t="shared" si="33"/>
        <v>0</v>
      </c>
      <c r="Y98" s="89"/>
      <c r="Z98" s="118">
        <f t="shared" si="29"/>
        <v>92</v>
      </c>
      <c r="AA98" s="94">
        <f t="shared" si="34"/>
        <v>0</v>
      </c>
      <c r="AB98" s="89">
        <f t="shared" si="34"/>
        <v>0</v>
      </c>
      <c r="AC98" s="95">
        <f t="shared" si="34"/>
        <v>0</v>
      </c>
      <c r="AD98" s="94">
        <f t="shared" si="35"/>
        <v>0</v>
      </c>
      <c r="AE98" s="89">
        <f t="shared" si="35"/>
        <v>0</v>
      </c>
      <c r="AF98" s="95">
        <f t="shared" si="35"/>
        <v>0</v>
      </c>
      <c r="AG98" s="84"/>
      <c r="AH98" s="118">
        <f t="shared" si="30"/>
        <v>91</v>
      </c>
      <c r="AI98" s="94">
        <f>IF(E$5*$AH98&lt;E$5*E$14,(E$19*E$6*(1+Overview!$B$53)^-(E$5*$AH98)),0)</f>
        <v>0</v>
      </c>
      <c r="AJ98" s="89">
        <f>IF(F$5*$AH98&lt;F$5*F$14,(F$19*F$6*(1+Overview!$B$53)^-(F$5*$AH98)),0)</f>
        <v>0</v>
      </c>
      <c r="AK98" s="95">
        <f>IF(G$5*$AH98&lt;G$5*G$14,(G$19*G$6*(1+Overview!$B$53)^-(G$5*$AH98)),0)</f>
        <v>0</v>
      </c>
      <c r="AL98" s="94">
        <f>IF($AH98=0,0,IF(E$5*$AH98&lt;=E$5*E$14,(E$22*E$6*(1+Overview!$B$53)^-(E$5*$AH98)),0))</f>
        <v>0</v>
      </c>
      <c r="AM98" s="89">
        <f>IF($AH98=0,0,IF(F$5*$AH98&lt;=F$5*F$14,(F$22*F$6*(1+Overview!$B$53)^-(F$5*$AH98)),0))</f>
        <v>0</v>
      </c>
      <c r="AN98" s="95">
        <f>IF($AH98=0,0,IF(G$5*$AH98&lt;=G$5*G$14,(G$22*G$6*(1+Overview!$B$53)^-(G$5*$AH98)),0))</f>
        <v>0</v>
      </c>
      <c r="AO98" s="94">
        <f>IF(E$16&gt;0,IF($AH97*E$14=E$4,-(E$16/E$5)*E$19*E$6*(1+Overview!$B$53)^-E$4+(E$22*E$6*(1+Overview!$B$53)^-E$4),0),0)</f>
        <v>0</v>
      </c>
      <c r="AP98" s="89">
        <f>IF(F$16&gt;0,IF($AH97*F$14=F$4,-(F$16/F$5)*F$19*F$6*(1+Overview!$B$53)^-F$4+(F$22*F$6*(1+Overview!$B$53)^-F$4),0),0)</f>
        <v>0</v>
      </c>
      <c r="AQ98" s="95">
        <f>IF(G$16&gt;0,IF($AH97*G$14=G$4,-(G$16/G$5)*G$19*G$6*(1+Overview!$B$53)^-G$4+(G$22*G$6*(1+Overview!$B$53)^-G$4),0),0)</f>
        <v>0</v>
      </c>
      <c r="AR98" s="84"/>
      <c r="AS98" s="109">
        <f t="shared" si="31"/>
        <v>92</v>
      </c>
      <c r="AT98" s="94">
        <f>IF($AS98&lt;E$4,E$20*E$6*E$11*(1+Overview!$B$53)^-($AS98),0)</f>
        <v>0</v>
      </c>
      <c r="AU98" s="89">
        <f>IF($AS98&lt;F$4,F$20*F$6*F$11*(1+Overview!$B$53)^-($AS98),0)</f>
        <v>0</v>
      </c>
      <c r="AV98" s="89">
        <f>IF($AS98&lt;G$4,G$20*G$6*G$11*(1+Overview!$B$53)^-($AS98),0)</f>
        <v>0</v>
      </c>
      <c r="AW98" s="94">
        <f>IF(E$67=0,IF($AS98&lt;E$4,E$55*(1+Overview!$B$53)^-($AS98),0),IF($AS98&lt;E$4,E$67*(1+Overview!$B$53)^-($AS98),0))</f>
        <v>0</v>
      </c>
      <c r="AX98" s="89">
        <f>IF(F$67=0,IF($AS98&lt;F$4,F$55*(1+Overview!$B$53)^-($AS98),0),IF($AS98&lt;F$4,F$67*(1+Overview!$B$53)^-($AS98),0))</f>
        <v>0</v>
      </c>
      <c r="AY98" s="89">
        <f>IF(G$67=0,IF($AS98&lt;G$4,G$55*(1+Overview!$B$53)^-($AS98),0),IF($AS98&lt;G$4,G$67*(1+Overview!$B$53)^-($AS98),0))</f>
        <v>0</v>
      </c>
      <c r="AZ98" s="89">
        <f>IF(E$68=0,IF($AS98&lt;E$4,E$56*(1+Overview!$B$53)^-($AS98),0),IF($AS98&lt;E$4,E$68*(1+Overview!$B$53)^-($AS98),0))</f>
        <v>0</v>
      </c>
      <c r="BA98" s="89">
        <f>IF(F$68=0,IF($AS98&lt;F$4,F$56*(1+Overview!$B$53)^-($AS98),0),IF($AS98&lt;F$4,F$68*(1+Overview!$B$53)^-($AS98),0))</f>
        <v>0</v>
      </c>
      <c r="BB98" s="89">
        <f>IF(G$68=0,IF($AS98&lt;G$4,G$56*(1+Overview!$B$53)^-($AS98),0),IF($AS98&lt;G$4,G$68*(1+Overview!$B$53)^-($AS98),0))</f>
        <v>0</v>
      </c>
      <c r="BC98" s="89">
        <f>IF(E$69=0,IF($AS98&lt;E$4,E$57*(1+Overview!$B$53)^-($AS98),0),IF($AS98&lt;E$4,E$69*(1+Overview!$B$53)^-($AS98),0))</f>
        <v>0</v>
      </c>
      <c r="BD98" s="89">
        <f>IF(F$69=0,IF($AS98&lt;F$4,F$57*(1+Overview!$B$53)^-($AS98),0),IF($AS98&lt;F$4,F$69*(1+Overview!$B$53)^-($AS98),0))</f>
        <v>0</v>
      </c>
      <c r="BE98" s="95">
        <f>IF(G$69=0,IF($AS98&lt;G$4,G$57*(1+Overview!$B$53)^-($AS98),0),IF($AS98&lt;G$4,G$69*(1+Overview!$B$53)^-($AS98),0))</f>
        <v>0</v>
      </c>
      <c r="BF98" s="1"/>
    </row>
    <row r="99" spans="18:58" x14ac:dyDescent="0.3">
      <c r="R99" s="118">
        <f t="shared" si="28"/>
        <v>92</v>
      </c>
      <c r="S99" s="94">
        <f t="shared" si="32"/>
        <v>0</v>
      </c>
      <c r="T99" s="89">
        <f t="shared" si="32"/>
        <v>0</v>
      </c>
      <c r="U99" s="95">
        <f t="shared" si="32"/>
        <v>0</v>
      </c>
      <c r="V99" s="94">
        <f t="shared" si="33"/>
        <v>0</v>
      </c>
      <c r="W99" s="89">
        <f t="shared" si="33"/>
        <v>0</v>
      </c>
      <c r="X99" s="95">
        <f t="shared" si="33"/>
        <v>0</v>
      </c>
      <c r="Y99" s="89"/>
      <c r="Z99" s="118">
        <f t="shared" si="29"/>
        <v>93</v>
      </c>
      <c r="AA99" s="94">
        <f t="shared" si="34"/>
        <v>0</v>
      </c>
      <c r="AB99" s="89">
        <f t="shared" si="34"/>
        <v>0</v>
      </c>
      <c r="AC99" s="95">
        <f t="shared" si="34"/>
        <v>0</v>
      </c>
      <c r="AD99" s="94">
        <f t="shared" si="35"/>
        <v>0</v>
      </c>
      <c r="AE99" s="89">
        <f t="shared" si="35"/>
        <v>0</v>
      </c>
      <c r="AF99" s="95">
        <f t="shared" si="35"/>
        <v>0</v>
      </c>
      <c r="AG99" s="84"/>
      <c r="AH99" s="118">
        <f t="shared" si="30"/>
        <v>92</v>
      </c>
      <c r="AI99" s="94">
        <f>IF(E$5*$AH99&lt;E$5*E$14,(E$19*E$6*(1+Overview!$B$53)^-(E$5*$AH99)),0)</f>
        <v>0</v>
      </c>
      <c r="AJ99" s="89">
        <f>IF(F$5*$AH99&lt;F$5*F$14,(F$19*F$6*(1+Overview!$B$53)^-(F$5*$AH99)),0)</f>
        <v>0</v>
      </c>
      <c r="AK99" s="95">
        <f>IF(G$5*$AH99&lt;G$5*G$14,(G$19*G$6*(1+Overview!$B$53)^-(G$5*$AH99)),0)</f>
        <v>0</v>
      </c>
      <c r="AL99" s="94">
        <f>IF($AH99=0,0,IF(E$5*$AH99&lt;=E$5*E$14,(E$22*E$6*(1+Overview!$B$53)^-(E$5*$AH99)),0))</f>
        <v>0</v>
      </c>
      <c r="AM99" s="89">
        <f>IF($AH99=0,0,IF(F$5*$AH99&lt;=F$5*F$14,(F$22*F$6*(1+Overview!$B$53)^-(F$5*$AH99)),0))</f>
        <v>0</v>
      </c>
      <c r="AN99" s="95">
        <f>IF($AH99=0,0,IF(G$5*$AH99&lt;=G$5*G$14,(G$22*G$6*(1+Overview!$B$53)^-(G$5*$AH99)),0))</f>
        <v>0</v>
      </c>
      <c r="AO99" s="94">
        <f>IF(E$16&gt;0,IF($AH98*E$14=E$4,-(E$16/E$5)*E$19*E$6*(1+Overview!$B$53)^-E$4+(E$22*E$6*(1+Overview!$B$53)^-E$4),0),0)</f>
        <v>0</v>
      </c>
      <c r="AP99" s="89">
        <f>IF(F$16&gt;0,IF($AH98*F$14=F$4,-(F$16/F$5)*F$19*F$6*(1+Overview!$B$53)^-F$4+(F$22*F$6*(1+Overview!$B$53)^-F$4),0),0)</f>
        <v>0</v>
      </c>
      <c r="AQ99" s="95">
        <f>IF(G$16&gt;0,IF($AH98*G$14=G$4,-(G$16/G$5)*G$19*G$6*(1+Overview!$B$53)^-G$4+(G$22*G$6*(1+Overview!$B$53)^-G$4),0),0)</f>
        <v>0</v>
      </c>
      <c r="AR99" s="84"/>
      <c r="AS99" s="109">
        <f t="shared" si="31"/>
        <v>93</v>
      </c>
      <c r="AT99" s="94">
        <f>IF($AS99&lt;E$4,E$20*E$6*E$11*(1+Overview!$B$53)^-($AS99),0)</f>
        <v>0</v>
      </c>
      <c r="AU99" s="89">
        <f>IF($AS99&lt;F$4,F$20*F$6*F$11*(1+Overview!$B$53)^-($AS99),0)</f>
        <v>0</v>
      </c>
      <c r="AV99" s="89">
        <f>IF($AS99&lt;G$4,G$20*G$6*G$11*(1+Overview!$B$53)^-($AS99),0)</f>
        <v>0</v>
      </c>
      <c r="AW99" s="94">
        <f>IF(E$67=0,IF($AS99&lt;E$4,E$55*(1+Overview!$B$53)^-($AS99),0),IF($AS99&lt;E$4,E$67*(1+Overview!$B$53)^-($AS99),0))</f>
        <v>0</v>
      </c>
      <c r="AX99" s="89">
        <f>IF(F$67=0,IF($AS99&lt;F$4,F$55*(1+Overview!$B$53)^-($AS99),0),IF($AS99&lt;F$4,F$67*(1+Overview!$B$53)^-($AS99),0))</f>
        <v>0</v>
      </c>
      <c r="AY99" s="89">
        <f>IF(G$67=0,IF($AS99&lt;G$4,G$55*(1+Overview!$B$53)^-($AS99),0),IF($AS99&lt;G$4,G$67*(1+Overview!$B$53)^-($AS99),0))</f>
        <v>0</v>
      </c>
      <c r="AZ99" s="89">
        <f>IF(E$68=0,IF($AS99&lt;E$4,E$56*(1+Overview!$B$53)^-($AS99),0),IF($AS99&lt;E$4,E$68*(1+Overview!$B$53)^-($AS99),0))</f>
        <v>0</v>
      </c>
      <c r="BA99" s="89">
        <f>IF(F$68=0,IF($AS99&lt;F$4,F$56*(1+Overview!$B$53)^-($AS99),0),IF($AS99&lt;F$4,F$68*(1+Overview!$B$53)^-($AS99),0))</f>
        <v>0</v>
      </c>
      <c r="BB99" s="89">
        <f>IF(G$68=0,IF($AS99&lt;G$4,G$56*(1+Overview!$B$53)^-($AS99),0),IF($AS99&lt;G$4,G$68*(1+Overview!$B$53)^-($AS99),0))</f>
        <v>0</v>
      </c>
      <c r="BC99" s="89">
        <f>IF(E$69=0,IF($AS99&lt;E$4,E$57*(1+Overview!$B$53)^-($AS99),0),IF($AS99&lt;E$4,E$69*(1+Overview!$B$53)^-($AS99),0))</f>
        <v>0</v>
      </c>
      <c r="BD99" s="89">
        <f>IF(F$69=0,IF($AS99&lt;F$4,F$57*(1+Overview!$B$53)^-($AS99),0),IF($AS99&lt;F$4,F$69*(1+Overview!$B$53)^-($AS99),0))</f>
        <v>0</v>
      </c>
      <c r="BE99" s="95">
        <f>IF(G$69=0,IF($AS99&lt;G$4,G$57*(1+Overview!$B$53)^-($AS99),0),IF($AS99&lt;G$4,G$69*(1+Overview!$B$53)^-($AS99),0))</f>
        <v>0</v>
      </c>
      <c r="BF99" s="1"/>
    </row>
    <row r="100" spans="18:58" x14ac:dyDescent="0.3">
      <c r="R100" s="118">
        <f t="shared" si="28"/>
        <v>93</v>
      </c>
      <c r="S100" s="94">
        <f t="shared" si="32"/>
        <v>0</v>
      </c>
      <c r="T100" s="89">
        <f t="shared" si="32"/>
        <v>0</v>
      </c>
      <c r="U100" s="95">
        <f t="shared" si="32"/>
        <v>0</v>
      </c>
      <c r="V100" s="94">
        <f t="shared" si="33"/>
        <v>0</v>
      </c>
      <c r="W100" s="89">
        <f t="shared" si="33"/>
        <v>0</v>
      </c>
      <c r="X100" s="95">
        <f t="shared" si="33"/>
        <v>0</v>
      </c>
      <c r="Y100" s="89"/>
      <c r="Z100" s="118">
        <f t="shared" si="29"/>
        <v>94</v>
      </c>
      <c r="AA100" s="94">
        <f t="shared" si="34"/>
        <v>0</v>
      </c>
      <c r="AB100" s="89">
        <f t="shared" si="34"/>
        <v>0</v>
      </c>
      <c r="AC100" s="95">
        <f t="shared" si="34"/>
        <v>0</v>
      </c>
      <c r="AD100" s="94">
        <f t="shared" si="35"/>
        <v>0</v>
      </c>
      <c r="AE100" s="89">
        <f t="shared" si="35"/>
        <v>0</v>
      </c>
      <c r="AF100" s="95">
        <f t="shared" si="35"/>
        <v>0</v>
      </c>
      <c r="AG100" s="84"/>
      <c r="AH100" s="118">
        <f t="shared" si="30"/>
        <v>93</v>
      </c>
      <c r="AI100" s="94">
        <f>IF(E$5*$AH100&lt;E$5*E$14,(E$19*E$6*(1+Overview!$B$53)^-(E$5*$AH100)),0)</f>
        <v>0</v>
      </c>
      <c r="AJ100" s="89">
        <f>IF(F$5*$AH100&lt;F$5*F$14,(F$19*F$6*(1+Overview!$B$53)^-(F$5*$AH100)),0)</f>
        <v>0</v>
      </c>
      <c r="AK100" s="95">
        <f>IF(G$5*$AH100&lt;G$5*G$14,(G$19*G$6*(1+Overview!$B$53)^-(G$5*$AH100)),0)</f>
        <v>0</v>
      </c>
      <c r="AL100" s="94">
        <f>IF($AH100=0,0,IF(E$5*$AH100&lt;=E$5*E$14,(E$22*E$6*(1+Overview!$B$53)^-(E$5*$AH100)),0))</f>
        <v>0</v>
      </c>
      <c r="AM100" s="89">
        <f>IF($AH100=0,0,IF(F$5*$AH100&lt;=F$5*F$14,(F$22*F$6*(1+Overview!$B$53)^-(F$5*$AH100)),0))</f>
        <v>0</v>
      </c>
      <c r="AN100" s="95">
        <f>IF($AH100=0,0,IF(G$5*$AH100&lt;=G$5*G$14,(G$22*G$6*(1+Overview!$B$53)^-(G$5*$AH100)),0))</f>
        <v>0</v>
      </c>
      <c r="AO100" s="94">
        <f>IF(E$16&gt;0,IF($AH99*E$14=E$4,-(E$16/E$5)*E$19*E$6*(1+Overview!$B$53)^-E$4+(E$22*E$6*(1+Overview!$B$53)^-E$4),0),0)</f>
        <v>0</v>
      </c>
      <c r="AP100" s="89">
        <f>IF(F$16&gt;0,IF($AH99*F$14=F$4,-(F$16/F$5)*F$19*F$6*(1+Overview!$B$53)^-F$4+(F$22*F$6*(1+Overview!$B$53)^-F$4),0),0)</f>
        <v>0</v>
      </c>
      <c r="AQ100" s="95">
        <f>IF(G$16&gt;0,IF($AH99*G$14=G$4,-(G$16/G$5)*G$19*G$6*(1+Overview!$B$53)^-G$4+(G$22*G$6*(1+Overview!$B$53)^-G$4),0),0)</f>
        <v>0</v>
      </c>
      <c r="AR100" s="84"/>
      <c r="AS100" s="109">
        <f t="shared" si="31"/>
        <v>94</v>
      </c>
      <c r="AT100" s="94">
        <f>IF($AS100&lt;E$4,E$20*E$6*E$11*(1+Overview!$B$53)^-($AS100),0)</f>
        <v>0</v>
      </c>
      <c r="AU100" s="89">
        <f>IF($AS100&lt;F$4,F$20*F$6*F$11*(1+Overview!$B$53)^-($AS100),0)</f>
        <v>0</v>
      </c>
      <c r="AV100" s="89">
        <f>IF($AS100&lt;G$4,G$20*G$6*G$11*(1+Overview!$B$53)^-($AS100),0)</f>
        <v>0</v>
      </c>
      <c r="AW100" s="94">
        <f>IF(E$67=0,IF($AS100&lt;E$4,E$55*(1+Overview!$B$53)^-($AS100),0),IF($AS100&lt;E$4,E$67*(1+Overview!$B$53)^-($AS100),0))</f>
        <v>0</v>
      </c>
      <c r="AX100" s="89">
        <f>IF(F$67=0,IF($AS100&lt;F$4,F$55*(1+Overview!$B$53)^-($AS100),0),IF($AS100&lt;F$4,F$67*(1+Overview!$B$53)^-($AS100),0))</f>
        <v>0</v>
      </c>
      <c r="AY100" s="89">
        <f>IF(G$67=0,IF($AS100&lt;G$4,G$55*(1+Overview!$B$53)^-($AS100),0),IF($AS100&lt;G$4,G$67*(1+Overview!$B$53)^-($AS100),0))</f>
        <v>0</v>
      </c>
      <c r="AZ100" s="89">
        <f>IF(E$68=0,IF($AS100&lt;E$4,E$56*(1+Overview!$B$53)^-($AS100),0),IF($AS100&lt;E$4,E$68*(1+Overview!$B$53)^-($AS100),0))</f>
        <v>0</v>
      </c>
      <c r="BA100" s="89">
        <f>IF(F$68=0,IF($AS100&lt;F$4,F$56*(1+Overview!$B$53)^-($AS100),0),IF($AS100&lt;F$4,F$68*(1+Overview!$B$53)^-($AS100),0))</f>
        <v>0</v>
      </c>
      <c r="BB100" s="89">
        <f>IF(G$68=0,IF($AS100&lt;G$4,G$56*(1+Overview!$B$53)^-($AS100),0),IF($AS100&lt;G$4,G$68*(1+Overview!$B$53)^-($AS100),0))</f>
        <v>0</v>
      </c>
      <c r="BC100" s="89">
        <f>IF(E$69=0,IF($AS100&lt;E$4,E$57*(1+Overview!$B$53)^-($AS100),0),IF($AS100&lt;E$4,E$69*(1+Overview!$B$53)^-($AS100),0))</f>
        <v>0</v>
      </c>
      <c r="BD100" s="89">
        <f>IF(F$69=0,IF($AS100&lt;F$4,F$57*(1+Overview!$B$53)^-($AS100),0),IF($AS100&lt;F$4,F$69*(1+Overview!$B$53)^-($AS100),0))</f>
        <v>0</v>
      </c>
      <c r="BE100" s="95">
        <f>IF(G$69=0,IF($AS100&lt;G$4,G$57*(1+Overview!$B$53)^-($AS100),0),IF($AS100&lt;G$4,G$69*(1+Overview!$B$53)^-($AS100),0))</f>
        <v>0</v>
      </c>
      <c r="BF100" s="1"/>
    </row>
    <row r="101" spans="18:58" x14ac:dyDescent="0.3">
      <c r="R101" s="118">
        <f t="shared" si="28"/>
        <v>94</v>
      </c>
      <c r="S101" s="94">
        <f t="shared" si="32"/>
        <v>0</v>
      </c>
      <c r="T101" s="89">
        <f t="shared" si="32"/>
        <v>0</v>
      </c>
      <c r="U101" s="95">
        <f t="shared" si="32"/>
        <v>0</v>
      </c>
      <c r="V101" s="94">
        <f t="shared" si="33"/>
        <v>0</v>
      </c>
      <c r="W101" s="89">
        <f t="shared" si="33"/>
        <v>0</v>
      </c>
      <c r="X101" s="95">
        <f t="shared" si="33"/>
        <v>0</v>
      </c>
      <c r="Y101" s="89"/>
      <c r="Z101" s="118">
        <f t="shared" si="29"/>
        <v>95</v>
      </c>
      <c r="AA101" s="94">
        <f t="shared" si="34"/>
        <v>0</v>
      </c>
      <c r="AB101" s="89">
        <f t="shared" si="34"/>
        <v>0</v>
      </c>
      <c r="AC101" s="95">
        <f t="shared" si="34"/>
        <v>0</v>
      </c>
      <c r="AD101" s="94">
        <f t="shared" si="35"/>
        <v>0</v>
      </c>
      <c r="AE101" s="89">
        <f t="shared" si="35"/>
        <v>0</v>
      </c>
      <c r="AF101" s="95">
        <f t="shared" si="35"/>
        <v>0</v>
      </c>
      <c r="AG101" s="84"/>
      <c r="AH101" s="118">
        <f t="shared" si="30"/>
        <v>94</v>
      </c>
      <c r="AI101" s="94">
        <f>IF(E$5*$AH101&lt;E$5*E$14,(E$19*E$6*(1+Overview!$B$53)^-(E$5*$AH101)),0)</f>
        <v>0</v>
      </c>
      <c r="AJ101" s="89">
        <f>IF(F$5*$AH101&lt;F$5*F$14,(F$19*F$6*(1+Overview!$B$53)^-(F$5*$AH101)),0)</f>
        <v>0</v>
      </c>
      <c r="AK101" s="95">
        <f>IF(G$5*$AH101&lt;G$5*G$14,(G$19*G$6*(1+Overview!$B$53)^-(G$5*$AH101)),0)</f>
        <v>0</v>
      </c>
      <c r="AL101" s="94">
        <f>IF($AH101=0,0,IF(E$5*$AH101&lt;=E$5*E$14,(E$22*E$6*(1+Overview!$B$53)^-(E$5*$AH101)),0))</f>
        <v>0</v>
      </c>
      <c r="AM101" s="89">
        <f>IF($AH101=0,0,IF(F$5*$AH101&lt;=F$5*F$14,(F$22*F$6*(1+Overview!$B$53)^-(F$5*$AH101)),0))</f>
        <v>0</v>
      </c>
      <c r="AN101" s="95">
        <f>IF($AH101=0,0,IF(G$5*$AH101&lt;=G$5*G$14,(G$22*G$6*(1+Overview!$B$53)^-(G$5*$AH101)),0))</f>
        <v>0</v>
      </c>
      <c r="AO101" s="94">
        <f>IF(E$16&gt;0,IF($AH100*E$14=E$4,-(E$16/E$5)*E$19*E$6*(1+Overview!$B$53)^-E$4+(E$22*E$6*(1+Overview!$B$53)^-E$4),0),0)</f>
        <v>0</v>
      </c>
      <c r="AP101" s="89">
        <f>IF(F$16&gt;0,IF($AH100*F$14=F$4,-(F$16/F$5)*F$19*F$6*(1+Overview!$B$53)^-F$4+(F$22*F$6*(1+Overview!$B$53)^-F$4),0),0)</f>
        <v>0</v>
      </c>
      <c r="AQ101" s="95">
        <f>IF(G$16&gt;0,IF($AH100*G$14=G$4,-(G$16/G$5)*G$19*G$6*(1+Overview!$B$53)^-G$4+(G$22*G$6*(1+Overview!$B$53)^-G$4),0),0)</f>
        <v>0</v>
      </c>
      <c r="AR101" s="84"/>
      <c r="AS101" s="109">
        <f t="shared" si="31"/>
        <v>95</v>
      </c>
      <c r="AT101" s="94">
        <f>IF($AS101&lt;E$4,E$20*E$6*E$11*(1+Overview!$B$53)^-($AS101),0)</f>
        <v>0</v>
      </c>
      <c r="AU101" s="89">
        <f>IF($AS101&lt;F$4,F$20*F$6*F$11*(1+Overview!$B$53)^-($AS101),0)</f>
        <v>0</v>
      </c>
      <c r="AV101" s="89">
        <f>IF($AS101&lt;G$4,G$20*G$6*G$11*(1+Overview!$B$53)^-($AS101),0)</f>
        <v>0</v>
      </c>
      <c r="AW101" s="94">
        <f>IF(E$67=0,IF($AS101&lt;E$4,E$55*(1+Overview!$B$53)^-($AS101),0),IF($AS101&lt;E$4,E$67*(1+Overview!$B$53)^-($AS101),0))</f>
        <v>0</v>
      </c>
      <c r="AX101" s="89">
        <f>IF(F$67=0,IF($AS101&lt;F$4,F$55*(1+Overview!$B$53)^-($AS101),0),IF($AS101&lt;F$4,F$67*(1+Overview!$B$53)^-($AS101),0))</f>
        <v>0</v>
      </c>
      <c r="AY101" s="89">
        <f>IF(G$67=0,IF($AS101&lt;G$4,G$55*(1+Overview!$B$53)^-($AS101),0),IF($AS101&lt;G$4,G$67*(1+Overview!$B$53)^-($AS101),0))</f>
        <v>0</v>
      </c>
      <c r="AZ101" s="89">
        <f>IF(E$68=0,IF($AS101&lt;E$4,E$56*(1+Overview!$B$53)^-($AS101),0),IF($AS101&lt;E$4,E$68*(1+Overview!$B$53)^-($AS101),0))</f>
        <v>0</v>
      </c>
      <c r="BA101" s="89">
        <f>IF(F$68=0,IF($AS101&lt;F$4,F$56*(1+Overview!$B$53)^-($AS101),0),IF($AS101&lt;F$4,F$68*(1+Overview!$B$53)^-($AS101),0))</f>
        <v>0</v>
      </c>
      <c r="BB101" s="89">
        <f>IF(G$68=0,IF($AS101&lt;G$4,G$56*(1+Overview!$B$53)^-($AS101),0),IF($AS101&lt;G$4,G$68*(1+Overview!$B$53)^-($AS101),0))</f>
        <v>0</v>
      </c>
      <c r="BC101" s="89">
        <f>IF(E$69=0,IF($AS101&lt;E$4,E$57*(1+Overview!$B$53)^-($AS101),0),IF($AS101&lt;E$4,E$69*(1+Overview!$B$53)^-($AS101),0))</f>
        <v>0</v>
      </c>
      <c r="BD101" s="89">
        <f>IF(F$69=0,IF($AS101&lt;F$4,F$57*(1+Overview!$B$53)^-($AS101),0),IF($AS101&lt;F$4,F$69*(1+Overview!$B$53)^-($AS101),0))</f>
        <v>0</v>
      </c>
      <c r="BE101" s="95">
        <f>IF(G$69=0,IF($AS101&lt;G$4,G$57*(1+Overview!$B$53)^-($AS101),0),IF($AS101&lt;G$4,G$69*(1+Overview!$B$53)^-($AS101),0))</f>
        <v>0</v>
      </c>
      <c r="BF101" s="1"/>
    </row>
    <row r="102" spans="18:58" x14ac:dyDescent="0.3">
      <c r="R102" s="118">
        <f t="shared" si="28"/>
        <v>95</v>
      </c>
      <c r="S102" s="94">
        <f t="shared" si="32"/>
        <v>0</v>
      </c>
      <c r="T102" s="89">
        <f t="shared" si="32"/>
        <v>0</v>
      </c>
      <c r="U102" s="95">
        <f t="shared" si="32"/>
        <v>0</v>
      </c>
      <c r="V102" s="94">
        <f t="shared" si="33"/>
        <v>0</v>
      </c>
      <c r="W102" s="89">
        <f t="shared" si="33"/>
        <v>0</v>
      </c>
      <c r="X102" s="95">
        <f t="shared" si="33"/>
        <v>0</v>
      </c>
      <c r="Y102" s="89"/>
      <c r="Z102" s="118">
        <f t="shared" si="29"/>
        <v>96</v>
      </c>
      <c r="AA102" s="94">
        <f t="shared" si="34"/>
        <v>0</v>
      </c>
      <c r="AB102" s="89">
        <f t="shared" si="34"/>
        <v>0</v>
      </c>
      <c r="AC102" s="95">
        <f t="shared" si="34"/>
        <v>0</v>
      </c>
      <c r="AD102" s="94">
        <f t="shared" si="35"/>
        <v>0</v>
      </c>
      <c r="AE102" s="89">
        <f t="shared" si="35"/>
        <v>0</v>
      </c>
      <c r="AF102" s="95">
        <f t="shared" si="35"/>
        <v>0</v>
      </c>
      <c r="AG102" s="84"/>
      <c r="AH102" s="118">
        <f t="shared" si="30"/>
        <v>95</v>
      </c>
      <c r="AI102" s="94">
        <f>IF(E$5*$AH102&lt;E$5*E$14,(E$19*E$6*(1+Overview!$B$53)^-(E$5*$AH102)),0)</f>
        <v>0</v>
      </c>
      <c r="AJ102" s="89">
        <f>IF(F$5*$AH102&lt;F$5*F$14,(F$19*F$6*(1+Overview!$B$53)^-(F$5*$AH102)),0)</f>
        <v>0</v>
      </c>
      <c r="AK102" s="95">
        <f>IF(G$5*$AH102&lt;G$5*G$14,(G$19*G$6*(1+Overview!$B$53)^-(G$5*$AH102)),0)</f>
        <v>0</v>
      </c>
      <c r="AL102" s="94">
        <f>IF($AH102=0,0,IF(E$5*$AH102&lt;=E$5*E$14,(E$22*E$6*(1+Overview!$B$53)^-(E$5*$AH102)),0))</f>
        <v>0</v>
      </c>
      <c r="AM102" s="89">
        <f>IF($AH102=0,0,IF(F$5*$AH102&lt;=F$5*F$14,(F$22*F$6*(1+Overview!$B$53)^-(F$5*$AH102)),0))</f>
        <v>0</v>
      </c>
      <c r="AN102" s="95">
        <f>IF($AH102=0,0,IF(G$5*$AH102&lt;=G$5*G$14,(G$22*G$6*(1+Overview!$B$53)^-(G$5*$AH102)),0))</f>
        <v>0</v>
      </c>
      <c r="AO102" s="94">
        <f>IF(E$16&gt;0,IF($AH101*E$14=E$4,-(E$16/E$5)*E$19*E$6*(1+Overview!$B$53)^-E$4+(E$22*E$6*(1+Overview!$B$53)^-E$4),0),0)</f>
        <v>0</v>
      </c>
      <c r="AP102" s="89">
        <f>IF(F$16&gt;0,IF($AH101*F$14=F$4,-(F$16/F$5)*F$19*F$6*(1+Overview!$B$53)^-F$4+(F$22*F$6*(1+Overview!$B$53)^-F$4),0),0)</f>
        <v>0</v>
      </c>
      <c r="AQ102" s="95">
        <f>IF(G$16&gt;0,IF($AH101*G$14=G$4,-(G$16/G$5)*G$19*G$6*(1+Overview!$B$53)^-G$4+(G$22*G$6*(1+Overview!$B$53)^-G$4),0),0)</f>
        <v>0</v>
      </c>
      <c r="AR102" s="84"/>
      <c r="AS102" s="109">
        <f t="shared" si="31"/>
        <v>96</v>
      </c>
      <c r="AT102" s="94">
        <f>IF($AS102&lt;E$4,E$20*E$6*E$11*(1+Overview!$B$53)^-($AS102),0)</f>
        <v>0</v>
      </c>
      <c r="AU102" s="89">
        <f>IF($AS102&lt;F$4,F$20*F$6*F$11*(1+Overview!$B$53)^-($AS102),0)</f>
        <v>0</v>
      </c>
      <c r="AV102" s="89">
        <f>IF($AS102&lt;G$4,G$20*G$6*G$11*(1+Overview!$B$53)^-($AS102),0)</f>
        <v>0</v>
      </c>
      <c r="AW102" s="94">
        <f>IF(E$67=0,IF($AS102&lt;E$4,E$55*(1+Overview!$B$53)^-($AS102),0),IF($AS102&lt;E$4,E$67*(1+Overview!$B$53)^-($AS102),0))</f>
        <v>0</v>
      </c>
      <c r="AX102" s="89">
        <f>IF(F$67=0,IF($AS102&lt;F$4,F$55*(1+Overview!$B$53)^-($AS102),0),IF($AS102&lt;F$4,F$67*(1+Overview!$B$53)^-($AS102),0))</f>
        <v>0</v>
      </c>
      <c r="AY102" s="89">
        <f>IF(G$67=0,IF($AS102&lt;G$4,G$55*(1+Overview!$B$53)^-($AS102),0),IF($AS102&lt;G$4,G$67*(1+Overview!$B$53)^-($AS102),0))</f>
        <v>0</v>
      </c>
      <c r="AZ102" s="89">
        <f>IF(E$68=0,IF($AS102&lt;E$4,E$56*(1+Overview!$B$53)^-($AS102),0),IF($AS102&lt;E$4,E$68*(1+Overview!$B$53)^-($AS102),0))</f>
        <v>0</v>
      </c>
      <c r="BA102" s="89">
        <f>IF(F$68=0,IF($AS102&lt;F$4,F$56*(1+Overview!$B$53)^-($AS102),0),IF($AS102&lt;F$4,F$68*(1+Overview!$B$53)^-($AS102),0))</f>
        <v>0</v>
      </c>
      <c r="BB102" s="89">
        <f>IF(G$68=0,IF($AS102&lt;G$4,G$56*(1+Overview!$B$53)^-($AS102),0),IF($AS102&lt;G$4,G$68*(1+Overview!$B$53)^-($AS102),0))</f>
        <v>0</v>
      </c>
      <c r="BC102" s="89">
        <f>IF(E$69=0,IF($AS102&lt;E$4,E$57*(1+Overview!$B$53)^-($AS102),0),IF($AS102&lt;E$4,E$69*(1+Overview!$B$53)^-($AS102),0))</f>
        <v>0</v>
      </c>
      <c r="BD102" s="89">
        <f>IF(F$69=0,IF($AS102&lt;F$4,F$57*(1+Overview!$B$53)^-($AS102),0),IF($AS102&lt;F$4,F$69*(1+Overview!$B$53)^-($AS102),0))</f>
        <v>0</v>
      </c>
      <c r="BE102" s="95">
        <f>IF(G$69=0,IF($AS102&lt;G$4,G$57*(1+Overview!$B$53)^-($AS102),0),IF($AS102&lt;G$4,G$69*(1+Overview!$B$53)^-($AS102),0))</f>
        <v>0</v>
      </c>
      <c r="BF102" s="1"/>
    </row>
    <row r="103" spans="18:58" x14ac:dyDescent="0.3">
      <c r="R103" s="118">
        <f t="shared" si="28"/>
        <v>96</v>
      </c>
      <c r="S103" s="94">
        <f t="shared" si="32"/>
        <v>0</v>
      </c>
      <c r="T103" s="89">
        <f t="shared" si="32"/>
        <v>0</v>
      </c>
      <c r="U103" s="95">
        <f t="shared" si="32"/>
        <v>0</v>
      </c>
      <c r="V103" s="94">
        <f t="shared" si="33"/>
        <v>0</v>
      </c>
      <c r="W103" s="89">
        <f t="shared" si="33"/>
        <v>0</v>
      </c>
      <c r="X103" s="95">
        <f t="shared" si="33"/>
        <v>0</v>
      </c>
      <c r="Y103" s="89"/>
      <c r="Z103" s="118">
        <f t="shared" si="29"/>
        <v>97</v>
      </c>
      <c r="AA103" s="94">
        <f t="shared" si="34"/>
        <v>0</v>
      </c>
      <c r="AB103" s="89">
        <f t="shared" si="34"/>
        <v>0</v>
      </c>
      <c r="AC103" s="95">
        <f t="shared" si="34"/>
        <v>0</v>
      </c>
      <c r="AD103" s="94">
        <f t="shared" si="35"/>
        <v>0</v>
      </c>
      <c r="AE103" s="89">
        <f t="shared" si="35"/>
        <v>0</v>
      </c>
      <c r="AF103" s="95">
        <f t="shared" si="35"/>
        <v>0</v>
      </c>
      <c r="AG103" s="84"/>
      <c r="AH103" s="118">
        <f t="shared" si="30"/>
        <v>96</v>
      </c>
      <c r="AI103" s="94">
        <f>IF(E$5*$AH103&lt;E$5*E$14,(E$19*E$6*(1+Overview!$B$53)^-(E$5*$AH103)),0)</f>
        <v>0</v>
      </c>
      <c r="AJ103" s="89">
        <f>IF(F$5*$AH103&lt;F$5*F$14,(F$19*F$6*(1+Overview!$B$53)^-(F$5*$AH103)),0)</f>
        <v>0</v>
      </c>
      <c r="AK103" s="95">
        <f>IF(G$5*$AH103&lt;G$5*G$14,(G$19*G$6*(1+Overview!$B$53)^-(G$5*$AH103)),0)</f>
        <v>0</v>
      </c>
      <c r="AL103" s="94">
        <f>IF($AH103=0,0,IF(E$5*$AH103&lt;=E$5*E$14,(E$22*E$6*(1+Overview!$B$53)^-(E$5*$AH103)),0))</f>
        <v>0</v>
      </c>
      <c r="AM103" s="89">
        <f>IF($AH103=0,0,IF(F$5*$AH103&lt;=F$5*F$14,(F$22*F$6*(1+Overview!$B$53)^-(F$5*$AH103)),0))</f>
        <v>0</v>
      </c>
      <c r="AN103" s="95">
        <f>IF($AH103=0,0,IF(G$5*$AH103&lt;=G$5*G$14,(G$22*G$6*(1+Overview!$B$53)^-(G$5*$AH103)),0))</f>
        <v>0</v>
      </c>
      <c r="AO103" s="94">
        <f>IF(E$16&gt;0,IF($AH102*E$14=E$4,-(E$16/E$5)*E$19*E$6*(1+Overview!$B$53)^-E$4+(E$22*E$6*(1+Overview!$B$53)^-E$4),0),0)</f>
        <v>0</v>
      </c>
      <c r="AP103" s="89">
        <f>IF(F$16&gt;0,IF($AH102*F$14=F$4,-(F$16/F$5)*F$19*F$6*(1+Overview!$B$53)^-F$4+(F$22*F$6*(1+Overview!$B$53)^-F$4),0),0)</f>
        <v>0</v>
      </c>
      <c r="AQ103" s="95">
        <f>IF(G$16&gt;0,IF($AH102*G$14=G$4,-(G$16/G$5)*G$19*G$6*(1+Overview!$B$53)^-G$4+(G$22*G$6*(1+Overview!$B$53)^-G$4),0),0)</f>
        <v>0</v>
      </c>
      <c r="AR103" s="84"/>
      <c r="AS103" s="109">
        <f t="shared" si="31"/>
        <v>97</v>
      </c>
      <c r="AT103" s="94">
        <f>IF($AS103&lt;E$4,E$20*E$6*E$11*(1+Overview!$B$53)^-($AS103),0)</f>
        <v>0</v>
      </c>
      <c r="AU103" s="89">
        <f>IF($AS103&lt;F$4,F$20*F$6*F$11*(1+Overview!$B$53)^-($AS103),0)</f>
        <v>0</v>
      </c>
      <c r="AV103" s="89">
        <f>IF($AS103&lt;G$4,G$20*G$6*G$11*(1+Overview!$B$53)^-($AS103),0)</f>
        <v>0</v>
      </c>
      <c r="AW103" s="94">
        <f>IF(E$67=0,IF($AS103&lt;E$4,E$55*(1+Overview!$B$53)^-($AS103),0),IF($AS103&lt;E$4,E$67*(1+Overview!$B$53)^-($AS103),0))</f>
        <v>0</v>
      </c>
      <c r="AX103" s="89">
        <f>IF(F$67=0,IF($AS103&lt;F$4,F$55*(1+Overview!$B$53)^-($AS103),0),IF($AS103&lt;F$4,F$67*(1+Overview!$B$53)^-($AS103),0))</f>
        <v>0</v>
      </c>
      <c r="AY103" s="89">
        <f>IF(G$67=0,IF($AS103&lt;G$4,G$55*(1+Overview!$B$53)^-($AS103),0),IF($AS103&lt;G$4,G$67*(1+Overview!$B$53)^-($AS103),0))</f>
        <v>0</v>
      </c>
      <c r="AZ103" s="89">
        <f>IF(E$68=0,IF($AS103&lt;E$4,E$56*(1+Overview!$B$53)^-($AS103),0),IF($AS103&lt;E$4,E$68*(1+Overview!$B$53)^-($AS103),0))</f>
        <v>0</v>
      </c>
      <c r="BA103" s="89">
        <f>IF(F$68=0,IF($AS103&lt;F$4,F$56*(1+Overview!$B$53)^-($AS103),0),IF($AS103&lt;F$4,F$68*(1+Overview!$B$53)^-($AS103),0))</f>
        <v>0</v>
      </c>
      <c r="BB103" s="89">
        <f>IF(G$68=0,IF($AS103&lt;G$4,G$56*(1+Overview!$B$53)^-($AS103),0),IF($AS103&lt;G$4,G$68*(1+Overview!$B$53)^-($AS103),0))</f>
        <v>0</v>
      </c>
      <c r="BC103" s="89">
        <f>IF(E$69=0,IF($AS103&lt;E$4,E$57*(1+Overview!$B$53)^-($AS103),0),IF($AS103&lt;E$4,E$69*(1+Overview!$B$53)^-($AS103),0))</f>
        <v>0</v>
      </c>
      <c r="BD103" s="89">
        <f>IF(F$69=0,IF($AS103&lt;F$4,F$57*(1+Overview!$B$53)^-($AS103),0),IF($AS103&lt;F$4,F$69*(1+Overview!$B$53)^-($AS103),0))</f>
        <v>0</v>
      </c>
      <c r="BE103" s="95">
        <f>IF(G$69=0,IF($AS103&lt;G$4,G$57*(1+Overview!$B$53)^-($AS103),0),IF($AS103&lt;G$4,G$69*(1+Overview!$B$53)^-($AS103),0))</f>
        <v>0</v>
      </c>
      <c r="BF103" s="1"/>
    </row>
    <row r="104" spans="18:58" x14ac:dyDescent="0.3">
      <c r="R104" s="118">
        <f t="shared" si="28"/>
        <v>97</v>
      </c>
      <c r="S104" s="94">
        <f t="shared" si="32"/>
        <v>0</v>
      </c>
      <c r="T104" s="89">
        <f t="shared" si="32"/>
        <v>0</v>
      </c>
      <c r="U104" s="95">
        <f t="shared" si="32"/>
        <v>0</v>
      </c>
      <c r="V104" s="94">
        <f t="shared" si="33"/>
        <v>0</v>
      </c>
      <c r="W104" s="89">
        <f t="shared" si="33"/>
        <v>0</v>
      </c>
      <c r="X104" s="95">
        <f t="shared" si="33"/>
        <v>0</v>
      </c>
      <c r="Y104" s="89"/>
      <c r="Z104" s="118">
        <f t="shared" si="29"/>
        <v>98</v>
      </c>
      <c r="AA104" s="94">
        <f t="shared" si="34"/>
        <v>0</v>
      </c>
      <c r="AB104" s="89">
        <f t="shared" si="34"/>
        <v>0</v>
      </c>
      <c r="AC104" s="95">
        <f t="shared" si="34"/>
        <v>0</v>
      </c>
      <c r="AD104" s="94">
        <f t="shared" si="35"/>
        <v>0</v>
      </c>
      <c r="AE104" s="89">
        <f t="shared" si="35"/>
        <v>0</v>
      </c>
      <c r="AF104" s="95">
        <f t="shared" si="35"/>
        <v>0</v>
      </c>
      <c r="AG104" s="84"/>
      <c r="AH104" s="118">
        <f t="shared" si="30"/>
        <v>97</v>
      </c>
      <c r="AI104" s="94">
        <f>IF(E$5*$AH104&lt;E$5*E$14,(E$19*E$6*(1+Overview!$B$53)^-(E$5*$AH104)),0)</f>
        <v>0</v>
      </c>
      <c r="AJ104" s="89">
        <f>IF(F$5*$AH104&lt;F$5*F$14,(F$19*F$6*(1+Overview!$B$53)^-(F$5*$AH104)),0)</f>
        <v>0</v>
      </c>
      <c r="AK104" s="95">
        <f>IF(G$5*$AH104&lt;G$5*G$14,(G$19*G$6*(1+Overview!$B$53)^-(G$5*$AH104)),0)</f>
        <v>0</v>
      </c>
      <c r="AL104" s="94">
        <f>IF($AH104=0,0,IF(E$5*$AH104&lt;=E$5*E$14,(E$22*E$6*(1+Overview!$B$53)^-(E$5*$AH104)),0))</f>
        <v>0</v>
      </c>
      <c r="AM104" s="89">
        <f>IF($AH104=0,0,IF(F$5*$AH104&lt;=F$5*F$14,(F$22*F$6*(1+Overview!$B$53)^-(F$5*$AH104)),0))</f>
        <v>0</v>
      </c>
      <c r="AN104" s="95">
        <f>IF($AH104=0,0,IF(G$5*$AH104&lt;=G$5*G$14,(G$22*G$6*(1+Overview!$B$53)^-(G$5*$AH104)),0))</f>
        <v>0</v>
      </c>
      <c r="AO104" s="94">
        <f>IF(E$16&gt;0,IF($AH103*E$14=E$4,-(E$16/E$5)*E$19*E$6*(1+Overview!$B$53)^-E$4+(E$22*E$6*(1+Overview!$B$53)^-E$4),0),0)</f>
        <v>0</v>
      </c>
      <c r="AP104" s="89">
        <f>IF(F$16&gt;0,IF($AH103*F$14=F$4,-(F$16/F$5)*F$19*F$6*(1+Overview!$B$53)^-F$4+(F$22*F$6*(1+Overview!$B$53)^-F$4),0),0)</f>
        <v>0</v>
      </c>
      <c r="AQ104" s="95">
        <f>IF(G$16&gt;0,IF($AH103*G$14=G$4,-(G$16/G$5)*G$19*G$6*(1+Overview!$B$53)^-G$4+(G$22*G$6*(1+Overview!$B$53)^-G$4),0),0)</f>
        <v>0</v>
      </c>
      <c r="AR104" s="84"/>
      <c r="AS104" s="109">
        <f t="shared" si="31"/>
        <v>98</v>
      </c>
      <c r="AT104" s="94">
        <f>IF($AS104&lt;E$4,E$20*E$6*E$11*(1+Overview!$B$53)^-($AS104),0)</f>
        <v>0</v>
      </c>
      <c r="AU104" s="89">
        <f>IF($AS104&lt;F$4,F$20*F$6*F$11*(1+Overview!$B$53)^-($AS104),0)</f>
        <v>0</v>
      </c>
      <c r="AV104" s="89">
        <f>IF($AS104&lt;G$4,G$20*G$6*G$11*(1+Overview!$B$53)^-($AS104),0)</f>
        <v>0</v>
      </c>
      <c r="AW104" s="94">
        <f>IF(E$67=0,IF($AS104&lt;E$4,E$55*(1+Overview!$B$53)^-($AS104),0),IF($AS104&lt;E$4,E$67*(1+Overview!$B$53)^-($AS104),0))</f>
        <v>0</v>
      </c>
      <c r="AX104" s="89">
        <f>IF(F$67=0,IF($AS104&lt;F$4,F$55*(1+Overview!$B$53)^-($AS104),0),IF($AS104&lt;F$4,F$67*(1+Overview!$B$53)^-($AS104),0))</f>
        <v>0</v>
      </c>
      <c r="AY104" s="89">
        <f>IF(G$67=0,IF($AS104&lt;G$4,G$55*(1+Overview!$B$53)^-($AS104),0),IF($AS104&lt;G$4,G$67*(1+Overview!$B$53)^-($AS104),0))</f>
        <v>0</v>
      </c>
      <c r="AZ104" s="89">
        <f>IF(E$68=0,IF($AS104&lt;E$4,E$56*(1+Overview!$B$53)^-($AS104),0),IF($AS104&lt;E$4,E$68*(1+Overview!$B$53)^-($AS104),0))</f>
        <v>0</v>
      </c>
      <c r="BA104" s="89">
        <f>IF(F$68=0,IF($AS104&lt;F$4,F$56*(1+Overview!$B$53)^-($AS104),0),IF($AS104&lt;F$4,F$68*(1+Overview!$B$53)^-($AS104),0))</f>
        <v>0</v>
      </c>
      <c r="BB104" s="89">
        <f>IF(G$68=0,IF($AS104&lt;G$4,G$56*(1+Overview!$B$53)^-($AS104),0),IF($AS104&lt;G$4,G$68*(1+Overview!$B$53)^-($AS104),0))</f>
        <v>0</v>
      </c>
      <c r="BC104" s="89">
        <f>IF(E$69=0,IF($AS104&lt;E$4,E$57*(1+Overview!$B$53)^-($AS104),0),IF($AS104&lt;E$4,E$69*(1+Overview!$B$53)^-($AS104),0))</f>
        <v>0</v>
      </c>
      <c r="BD104" s="89">
        <f>IF(F$69=0,IF($AS104&lt;F$4,F$57*(1+Overview!$B$53)^-($AS104),0),IF($AS104&lt;F$4,F$69*(1+Overview!$B$53)^-($AS104),0))</f>
        <v>0</v>
      </c>
      <c r="BE104" s="95">
        <f>IF(G$69=0,IF($AS104&lt;G$4,G$57*(1+Overview!$B$53)^-($AS104),0),IF($AS104&lt;G$4,G$69*(1+Overview!$B$53)^-($AS104),0))</f>
        <v>0</v>
      </c>
      <c r="BF104" s="1"/>
    </row>
    <row r="105" spans="18:58" x14ac:dyDescent="0.3">
      <c r="R105" s="118">
        <f t="shared" si="28"/>
        <v>98</v>
      </c>
      <c r="S105" s="94">
        <f t="shared" si="32"/>
        <v>0</v>
      </c>
      <c r="T105" s="89">
        <f t="shared" si="32"/>
        <v>0</v>
      </c>
      <c r="U105" s="95">
        <f t="shared" si="32"/>
        <v>0</v>
      </c>
      <c r="V105" s="94">
        <f t="shared" si="33"/>
        <v>0</v>
      </c>
      <c r="W105" s="89">
        <f t="shared" si="33"/>
        <v>0</v>
      </c>
      <c r="X105" s="95">
        <f t="shared" si="33"/>
        <v>0</v>
      </c>
      <c r="Y105" s="89"/>
      <c r="Z105" s="118">
        <f t="shared" si="29"/>
        <v>99</v>
      </c>
      <c r="AA105" s="94">
        <f t="shared" si="34"/>
        <v>0</v>
      </c>
      <c r="AB105" s="89">
        <f t="shared" si="34"/>
        <v>0</v>
      </c>
      <c r="AC105" s="95">
        <f t="shared" si="34"/>
        <v>0</v>
      </c>
      <c r="AD105" s="94">
        <f t="shared" si="35"/>
        <v>0</v>
      </c>
      <c r="AE105" s="89">
        <f t="shared" si="35"/>
        <v>0</v>
      </c>
      <c r="AF105" s="95">
        <f t="shared" si="35"/>
        <v>0</v>
      </c>
      <c r="AG105" s="84"/>
      <c r="AH105" s="118">
        <f t="shared" si="30"/>
        <v>98</v>
      </c>
      <c r="AI105" s="94">
        <f>IF(E$5*$AH105&lt;E$5*E$14,(E$19*E$6*(1+Overview!$B$53)^-(E$5*$AH105)),0)</f>
        <v>0</v>
      </c>
      <c r="AJ105" s="89">
        <f>IF(F$5*$AH105&lt;F$5*F$14,(F$19*F$6*(1+Overview!$B$53)^-(F$5*$AH105)),0)</f>
        <v>0</v>
      </c>
      <c r="AK105" s="95">
        <f>IF(G$5*$AH105&lt;G$5*G$14,(G$19*G$6*(1+Overview!$B$53)^-(G$5*$AH105)),0)</f>
        <v>0</v>
      </c>
      <c r="AL105" s="94">
        <f>IF($AH105=0,0,IF(E$5*$AH105&lt;=E$5*E$14,(E$22*E$6*(1+Overview!$B$53)^-(E$5*$AH105)),0))</f>
        <v>0</v>
      </c>
      <c r="AM105" s="89">
        <f>IF($AH105=0,0,IF(F$5*$AH105&lt;=F$5*F$14,(F$22*F$6*(1+Overview!$B$53)^-(F$5*$AH105)),0))</f>
        <v>0</v>
      </c>
      <c r="AN105" s="95">
        <f>IF($AH105=0,0,IF(G$5*$AH105&lt;=G$5*G$14,(G$22*G$6*(1+Overview!$B$53)^-(G$5*$AH105)),0))</f>
        <v>0</v>
      </c>
      <c r="AO105" s="94">
        <f>IF(E$16&gt;0,IF($AH104*E$14=E$4,-(E$16/E$5)*E$19*E$6*(1+Overview!$B$53)^-E$4+(E$22*E$6*(1+Overview!$B$53)^-E$4),0),0)</f>
        <v>0</v>
      </c>
      <c r="AP105" s="89">
        <f>IF(F$16&gt;0,IF($AH104*F$14=F$4,-(F$16/F$5)*F$19*F$6*(1+Overview!$B$53)^-F$4+(F$22*F$6*(1+Overview!$B$53)^-F$4),0),0)</f>
        <v>0</v>
      </c>
      <c r="AQ105" s="95">
        <f>IF(G$16&gt;0,IF($AH104*G$14=G$4,-(G$16/G$5)*G$19*G$6*(1+Overview!$B$53)^-G$4+(G$22*G$6*(1+Overview!$B$53)^-G$4),0),0)</f>
        <v>0</v>
      </c>
      <c r="AR105" s="84"/>
      <c r="AS105" s="109">
        <f t="shared" si="31"/>
        <v>99</v>
      </c>
      <c r="AT105" s="94">
        <f>IF($AS105&lt;E$4,E$20*E$6*E$11*(1+Overview!$B$53)^-($AS105),0)</f>
        <v>0</v>
      </c>
      <c r="AU105" s="89">
        <f>IF($AS105&lt;F$4,F$20*F$6*F$11*(1+Overview!$B$53)^-($AS105),0)</f>
        <v>0</v>
      </c>
      <c r="AV105" s="89">
        <f>IF($AS105&lt;G$4,G$20*G$6*G$11*(1+Overview!$B$53)^-($AS105),0)</f>
        <v>0</v>
      </c>
      <c r="AW105" s="94">
        <f>IF(E$67=0,IF($AS105&lt;E$4,E$55*(1+Overview!$B$53)^-($AS105),0),IF($AS105&lt;E$4,E$67*(1+Overview!$B$53)^-($AS105),0))</f>
        <v>0</v>
      </c>
      <c r="AX105" s="89">
        <f>IF(F$67=0,IF($AS105&lt;F$4,F$55*(1+Overview!$B$53)^-($AS105),0),IF($AS105&lt;F$4,F$67*(1+Overview!$B$53)^-($AS105),0))</f>
        <v>0</v>
      </c>
      <c r="AY105" s="89">
        <f>IF(G$67=0,IF($AS105&lt;G$4,G$55*(1+Overview!$B$53)^-($AS105),0),IF($AS105&lt;G$4,G$67*(1+Overview!$B$53)^-($AS105),0))</f>
        <v>0</v>
      </c>
      <c r="AZ105" s="89">
        <f>IF(E$68=0,IF($AS105&lt;E$4,E$56*(1+Overview!$B$53)^-($AS105),0),IF($AS105&lt;E$4,E$68*(1+Overview!$B$53)^-($AS105),0))</f>
        <v>0</v>
      </c>
      <c r="BA105" s="89">
        <f>IF(F$68=0,IF($AS105&lt;F$4,F$56*(1+Overview!$B$53)^-($AS105),0),IF($AS105&lt;F$4,F$68*(1+Overview!$B$53)^-($AS105),0))</f>
        <v>0</v>
      </c>
      <c r="BB105" s="89">
        <f>IF(G$68=0,IF($AS105&lt;G$4,G$56*(1+Overview!$B$53)^-($AS105),0),IF($AS105&lt;G$4,G$68*(1+Overview!$B$53)^-($AS105),0))</f>
        <v>0</v>
      </c>
      <c r="BC105" s="89">
        <f>IF(E$69=0,IF($AS105&lt;E$4,E$57*(1+Overview!$B$53)^-($AS105),0),IF($AS105&lt;E$4,E$69*(1+Overview!$B$53)^-($AS105),0))</f>
        <v>0</v>
      </c>
      <c r="BD105" s="89">
        <f>IF(F$69=0,IF($AS105&lt;F$4,F$57*(1+Overview!$B$53)^-($AS105),0),IF($AS105&lt;F$4,F$69*(1+Overview!$B$53)^-($AS105),0))</f>
        <v>0</v>
      </c>
      <c r="BE105" s="95">
        <f>IF(G$69=0,IF($AS105&lt;G$4,G$57*(1+Overview!$B$53)^-($AS105),0),IF($AS105&lt;G$4,G$69*(1+Overview!$B$53)^-($AS105),0))</f>
        <v>0</v>
      </c>
      <c r="BF105" s="1"/>
    </row>
    <row r="106" spans="18:58" x14ac:dyDescent="0.3">
      <c r="R106" s="118">
        <f t="shared" si="28"/>
        <v>99</v>
      </c>
      <c r="S106" s="94">
        <f t="shared" si="32"/>
        <v>0</v>
      </c>
      <c r="T106" s="89">
        <f t="shared" si="32"/>
        <v>0</v>
      </c>
      <c r="U106" s="95">
        <f t="shared" si="32"/>
        <v>0</v>
      </c>
      <c r="V106" s="94">
        <f t="shared" si="33"/>
        <v>0</v>
      </c>
      <c r="W106" s="89">
        <f t="shared" si="33"/>
        <v>0</v>
      </c>
      <c r="X106" s="95">
        <f t="shared" si="33"/>
        <v>0</v>
      </c>
      <c r="Y106" s="89"/>
      <c r="Z106" s="118">
        <f t="shared" si="29"/>
        <v>100</v>
      </c>
      <c r="AA106" s="94">
        <f t="shared" si="34"/>
        <v>0</v>
      </c>
      <c r="AB106" s="89">
        <f t="shared" si="34"/>
        <v>0</v>
      </c>
      <c r="AC106" s="95">
        <f t="shared" si="34"/>
        <v>0</v>
      </c>
      <c r="AD106" s="94">
        <f t="shared" si="35"/>
        <v>0</v>
      </c>
      <c r="AE106" s="89">
        <f t="shared" si="35"/>
        <v>0</v>
      </c>
      <c r="AF106" s="95">
        <f t="shared" si="35"/>
        <v>0</v>
      </c>
      <c r="AG106" s="84"/>
      <c r="AH106" s="118">
        <f t="shared" si="30"/>
        <v>99</v>
      </c>
      <c r="AI106" s="94">
        <f>IF(E$5*$AH106&lt;E$5*E$14,(E$19*E$6*(1+Overview!$B$53)^-(E$5*$AH106)),0)</f>
        <v>0</v>
      </c>
      <c r="AJ106" s="89">
        <f>IF(F$5*$AH106&lt;F$5*F$14,(F$19*F$6*(1+Overview!$B$53)^-(F$5*$AH106)),0)</f>
        <v>0</v>
      </c>
      <c r="AK106" s="95">
        <f>IF(G$5*$AH106&lt;G$5*G$14,(G$19*G$6*(1+Overview!$B$53)^-(G$5*$AH106)),0)</f>
        <v>0</v>
      </c>
      <c r="AL106" s="94">
        <f>IF($AH106=0,0,IF(E$5*$AH106&lt;=E$5*E$14,(E$22*E$6*(1+Overview!$B$53)^-(E$5*$AH106)),0))</f>
        <v>0</v>
      </c>
      <c r="AM106" s="89">
        <f>IF($AH106=0,0,IF(F$5*$AH106&lt;=F$5*F$14,(F$22*F$6*(1+Overview!$B$53)^-(F$5*$AH106)),0))</f>
        <v>0</v>
      </c>
      <c r="AN106" s="95">
        <f>IF($AH106=0,0,IF(G$5*$AH106&lt;=G$5*G$14,(G$22*G$6*(1+Overview!$B$53)^-(G$5*$AH106)),0))</f>
        <v>0</v>
      </c>
      <c r="AO106" s="94">
        <f>IF(E$16&gt;0,IF($AH105*E$14=E$4,-(E$16/E$5)*E$19*E$6*(1+Overview!$B$53)^-E$4+(E$22*E$6*(1+Overview!$B$53)^-E$4),0),0)</f>
        <v>0</v>
      </c>
      <c r="AP106" s="89">
        <f>IF(F$16&gt;0,IF($AH105*F$14=F$4,-(F$16/F$5)*F$19*F$6*(1+Overview!$B$53)^-F$4+(F$22*F$6*(1+Overview!$B$53)^-F$4),0),0)</f>
        <v>0</v>
      </c>
      <c r="AQ106" s="95">
        <f>IF(G$16&gt;0,IF($AH105*G$14=G$4,-(G$16/G$5)*G$19*G$6*(1+Overview!$B$53)^-G$4+(G$22*G$6*(1+Overview!$B$53)^-G$4),0),0)</f>
        <v>0</v>
      </c>
      <c r="AR106" s="84"/>
      <c r="AS106" s="109">
        <f t="shared" si="31"/>
        <v>100</v>
      </c>
      <c r="AT106" s="94">
        <f>IF($AS106&lt;E$4,E$20*E$6*E$11*(1+Overview!$B$53)^-($AS106),0)</f>
        <v>0</v>
      </c>
      <c r="AU106" s="89">
        <f>IF($AS106&lt;F$4,F$20*F$6*F$11*(1+Overview!$B$53)^-($AS106),0)</f>
        <v>0</v>
      </c>
      <c r="AV106" s="89">
        <f>IF($AS106&lt;G$4,G$20*G$6*G$11*(1+Overview!$B$53)^-($AS106),0)</f>
        <v>0</v>
      </c>
      <c r="AW106" s="94">
        <f>IF(E$67=0,IF($AS106&lt;E$4,E$55*(1+Overview!$B$53)^-($AS106),0),IF($AS106&lt;E$4,E$67*(1+Overview!$B$53)^-($AS106),0))</f>
        <v>0</v>
      </c>
      <c r="AX106" s="89">
        <f>IF(F$67=0,IF($AS106&lt;F$4,F$55*(1+Overview!$B$53)^-($AS106),0),IF($AS106&lt;F$4,F$67*(1+Overview!$B$53)^-($AS106),0))</f>
        <v>0</v>
      </c>
      <c r="AY106" s="89">
        <f>IF(G$67=0,IF($AS106&lt;G$4,G$55*(1+Overview!$B$53)^-($AS106),0),IF($AS106&lt;G$4,G$67*(1+Overview!$B$53)^-($AS106),0))</f>
        <v>0</v>
      </c>
      <c r="AZ106" s="89">
        <f>IF(E$68=0,IF($AS106&lt;E$4,E$56*(1+Overview!$B$53)^-($AS106),0),IF($AS106&lt;E$4,E$68*(1+Overview!$B$53)^-($AS106),0))</f>
        <v>0</v>
      </c>
      <c r="BA106" s="89">
        <f>IF(F$68=0,IF($AS106&lt;F$4,F$56*(1+Overview!$B$53)^-($AS106),0),IF($AS106&lt;F$4,F$68*(1+Overview!$B$53)^-($AS106),0))</f>
        <v>0</v>
      </c>
      <c r="BB106" s="89">
        <f>IF(G$68=0,IF($AS106&lt;G$4,G$56*(1+Overview!$B$53)^-($AS106),0),IF($AS106&lt;G$4,G$68*(1+Overview!$B$53)^-($AS106),0))</f>
        <v>0</v>
      </c>
      <c r="BC106" s="89">
        <f>IF(E$69=0,IF($AS106&lt;E$4,E$57*(1+Overview!$B$53)^-($AS106),0),IF($AS106&lt;E$4,E$69*(1+Overview!$B$53)^-($AS106),0))</f>
        <v>0</v>
      </c>
      <c r="BD106" s="89">
        <f>IF(F$69=0,IF($AS106&lt;F$4,F$57*(1+Overview!$B$53)^-($AS106),0),IF($AS106&lt;F$4,F$69*(1+Overview!$B$53)^-($AS106),0))</f>
        <v>0</v>
      </c>
      <c r="BE106" s="95">
        <f>IF(G$69=0,IF($AS106&lt;G$4,G$57*(1+Overview!$B$53)^-($AS106),0),IF($AS106&lt;G$4,G$69*(1+Overview!$B$53)^-($AS106),0))</f>
        <v>0</v>
      </c>
      <c r="BF106" s="1"/>
    </row>
    <row r="107" spans="18:58" x14ac:dyDescent="0.3">
      <c r="R107" s="119">
        <f t="shared" si="28"/>
        <v>100</v>
      </c>
      <c r="S107" s="96">
        <f t="shared" si="32"/>
        <v>0</v>
      </c>
      <c r="T107" s="97">
        <f t="shared" si="32"/>
        <v>0</v>
      </c>
      <c r="U107" s="98">
        <f t="shared" si="32"/>
        <v>0</v>
      </c>
      <c r="V107" s="96">
        <f t="shared" si="33"/>
        <v>0</v>
      </c>
      <c r="W107" s="97">
        <f t="shared" si="33"/>
        <v>0</v>
      </c>
      <c r="X107" s="98">
        <f t="shared" si="33"/>
        <v>0</v>
      </c>
      <c r="Y107" s="89"/>
      <c r="Z107" s="119">
        <f t="shared" si="29"/>
        <v>101</v>
      </c>
      <c r="AA107" s="96">
        <f t="shared" si="34"/>
        <v>0</v>
      </c>
      <c r="AB107" s="97">
        <f t="shared" si="34"/>
        <v>0</v>
      </c>
      <c r="AC107" s="98">
        <f t="shared" si="34"/>
        <v>0</v>
      </c>
      <c r="AD107" s="96">
        <f t="shared" si="35"/>
        <v>0</v>
      </c>
      <c r="AE107" s="97">
        <f t="shared" si="35"/>
        <v>0</v>
      </c>
      <c r="AF107" s="98">
        <f t="shared" si="35"/>
        <v>0</v>
      </c>
      <c r="AG107" s="84"/>
      <c r="AH107" s="119">
        <f t="shared" si="30"/>
        <v>100</v>
      </c>
      <c r="AI107" s="96">
        <f>IF(E$5*$AH107&lt;E$5*E$14,(E$19*E$6*(1+Overview!$B$53)^-(E$5*$AH107)),0)</f>
        <v>0</v>
      </c>
      <c r="AJ107" s="97">
        <f>IF(F$5*$AH107&lt;F$5*F$14,(F$19*F$6*(1+Overview!$B$53)^-(F$5*$AH107)),0)</f>
        <v>0</v>
      </c>
      <c r="AK107" s="98">
        <f>IF(G$5*$AH107&lt;G$5*G$14,(G$19*G$6*(1+Overview!$B$53)^-(G$5*$AH107)),0)</f>
        <v>0</v>
      </c>
      <c r="AL107" s="96">
        <f>IF($AH107=0,0,IF(E$5*$AH107&lt;=E$5*E$14,(E$22*E$6*(1+Overview!$B$53)^-(E$5*$AH107)),0))</f>
        <v>0</v>
      </c>
      <c r="AM107" s="97">
        <f>IF($AH107=0,0,IF(F$5*$AH107&lt;=F$5*F$14,(F$22*F$6*(1+Overview!$B$53)^-(F$5*$AH107)),0))</f>
        <v>0</v>
      </c>
      <c r="AN107" s="98">
        <f>IF($AH107=0,0,IF(G$5*$AH107&lt;=G$5*G$14,(G$22*G$6*(1+Overview!$B$53)^-(G$5*$AH107)),0))</f>
        <v>0</v>
      </c>
      <c r="AO107" s="96">
        <f>IF(E$16&gt;0,IF($AH106*E$14=E$4,-(E$16/E$5)*E$19*E$6*(1+Overview!$B$53)^-E$4+(E$22*E$6*(1+Overview!$B$53)^-E$4),0),0)</f>
        <v>0</v>
      </c>
      <c r="AP107" s="97">
        <f>IF(F$16&gt;0,IF($AH106*F$14=F$4,-(F$16/F$5)*F$19*F$6*(1+Overview!$B$53)^-F$4+(F$22*F$6*(1+Overview!$B$53)^-F$4),0),0)</f>
        <v>0</v>
      </c>
      <c r="AQ107" s="98">
        <f>IF(G$16&gt;0,IF($AH106*G$14=G$4,-(G$16/G$5)*G$19*G$6*(1+Overview!$B$53)^-G$4+(G$22*G$6*(1+Overview!$B$53)^-G$4),0),0)</f>
        <v>0</v>
      </c>
      <c r="AR107" s="84"/>
      <c r="AS107" s="86">
        <f t="shared" si="31"/>
        <v>101</v>
      </c>
      <c r="AT107" s="96">
        <f>IF($AS107&lt;E$4,E$20*E$6*E$11*(1+Overview!$B$53)^-($AS107),0)</f>
        <v>0</v>
      </c>
      <c r="AU107" s="97">
        <f>IF($AS107&lt;F$4,F$20*F$6*F$11*(1+Overview!$B$53)^-($AS107),0)</f>
        <v>0</v>
      </c>
      <c r="AV107" s="97">
        <f>IF($AS107&lt;G$4,G$20*G$6*G$11*(1+Overview!$B$53)^-($AS107),0)</f>
        <v>0</v>
      </c>
      <c r="AW107" s="96">
        <f>IF(E$67=0,IF($AS107&lt;E$4,E$55*(1+Overview!$B$53)^-($AS107),0),IF($AS107&lt;E$4,E$67*(1+Overview!$B$53)^-($AS107),0))</f>
        <v>0</v>
      </c>
      <c r="AX107" s="97">
        <f>IF(F$67=0,IF($AS107&lt;F$4,F$55*(1+Overview!$B$53)^-($AS107),0),IF($AS107&lt;F$4,F$67*(1+Overview!$B$53)^-($AS107),0))</f>
        <v>0</v>
      </c>
      <c r="AY107" s="97">
        <f>IF(G$67=0,IF($AS107&lt;G$4,G$55*(1+Overview!$B$53)^-($AS107),0),IF($AS107&lt;G$4,G$67*(1+Overview!$B$53)^-($AS107),0))</f>
        <v>0</v>
      </c>
      <c r="AZ107" s="97">
        <f>IF(E$68=0,IF($AS107&lt;E$4,E$56*(1+Overview!$B$53)^-($AS107),0),IF($AS107&lt;E$4,E$68*(1+Overview!$B$53)^-($AS107),0))</f>
        <v>0</v>
      </c>
      <c r="BA107" s="97">
        <f>IF(F$68=0,IF($AS107&lt;F$4,F$56*(1+Overview!$B$53)^-($AS107),0),IF($AS107&lt;F$4,F$68*(1+Overview!$B$53)^-($AS107),0))</f>
        <v>0</v>
      </c>
      <c r="BB107" s="97">
        <f>IF(G$68=0,IF($AS107&lt;G$4,G$56*(1+Overview!$B$53)^-($AS107),0),IF($AS107&lt;G$4,G$68*(1+Overview!$B$53)^-($AS107),0))</f>
        <v>0</v>
      </c>
      <c r="BC107" s="97">
        <f>IF(E$69=0,IF($AS107&lt;E$4,E$57*(1+Overview!$B$53)^-($AS107),0),IF($AS107&lt;E$4,E$69*(1+Overview!$B$53)^-($AS107),0))</f>
        <v>0</v>
      </c>
      <c r="BD107" s="97">
        <f>IF(F$69=0,IF($AS107&lt;F$4,F$57*(1+Overview!$B$53)^-($AS107),0),IF($AS107&lt;F$4,F$69*(1+Overview!$B$53)^-($AS107),0))</f>
        <v>0</v>
      </c>
      <c r="BE107" s="98">
        <f>IF(G$69=0,IF($AS107&lt;G$4,G$57*(1+Overview!$B$53)^-($AS107),0),IF($AS107&lt;G$4,G$69*(1+Overview!$B$53)^-($AS107),0))</f>
        <v>0</v>
      </c>
      <c r="BF107" s="1"/>
    </row>
  </sheetData>
  <mergeCells count="15">
    <mergeCell ref="S5:U5"/>
    <mergeCell ref="AA5:AC5"/>
    <mergeCell ref="V5:X5"/>
    <mergeCell ref="AD5:AF5"/>
    <mergeCell ref="AI2:AK2"/>
    <mergeCell ref="AI5:AK5"/>
    <mergeCell ref="AL2:AQ2"/>
    <mergeCell ref="AW5:AY5"/>
    <mergeCell ref="AZ5:BB5"/>
    <mergeCell ref="BC5:BE5"/>
    <mergeCell ref="AW2:BE2"/>
    <mergeCell ref="AT2:AV2"/>
    <mergeCell ref="AT5:AV5"/>
    <mergeCell ref="AL5:AN5"/>
    <mergeCell ref="AO5:AQ5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E40C-7333-432E-9E7E-B3CEB4915EE7}">
  <dimension ref="A2:I2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4" sqref="B4"/>
    </sheetView>
  </sheetViews>
  <sheetFormatPr defaultRowHeight="14.4" x14ac:dyDescent="0.3"/>
  <cols>
    <col min="1" max="1" width="23.33203125" customWidth="1"/>
    <col min="2" max="2" width="24.44140625" customWidth="1"/>
    <col min="3" max="3" width="14.88671875" customWidth="1"/>
    <col min="4" max="4" width="17.6640625" customWidth="1"/>
    <col min="5" max="5" width="16.5546875" customWidth="1"/>
    <col min="6" max="6" width="19" customWidth="1"/>
    <col min="7" max="7" width="23.33203125" customWidth="1"/>
    <col min="8" max="8" width="21.33203125" customWidth="1"/>
    <col min="9" max="9" width="16.6640625" customWidth="1"/>
  </cols>
  <sheetData>
    <row r="2" spans="1:9" x14ac:dyDescent="0.3">
      <c r="C2" s="244" t="s">
        <v>149</v>
      </c>
      <c r="D2" s="244"/>
      <c r="E2" s="244"/>
      <c r="F2" s="244"/>
      <c r="G2" s="244" t="s">
        <v>150</v>
      </c>
      <c r="H2" s="244"/>
      <c r="I2" s="244"/>
    </row>
    <row r="3" spans="1:9" x14ac:dyDescent="0.3">
      <c r="A3" s="2" t="s">
        <v>151</v>
      </c>
      <c r="C3" t="s">
        <v>152</v>
      </c>
      <c r="D3" t="s">
        <v>153</v>
      </c>
      <c r="E3" t="s">
        <v>154</v>
      </c>
      <c r="F3" t="s">
        <v>155</v>
      </c>
      <c r="G3" t="s">
        <v>156</v>
      </c>
      <c r="H3" t="s">
        <v>157</v>
      </c>
      <c r="I3" t="s">
        <v>158</v>
      </c>
    </row>
    <row r="4" spans="1:9" x14ac:dyDescent="0.3">
      <c r="A4" s="1" t="s">
        <v>159</v>
      </c>
      <c r="C4" s="1" t="s">
        <v>160</v>
      </c>
      <c r="D4" s="1" t="s">
        <v>161</v>
      </c>
      <c r="E4" s="1" t="s">
        <v>160</v>
      </c>
      <c r="F4" s="1" t="s">
        <v>161</v>
      </c>
      <c r="G4" s="1" t="s">
        <v>162</v>
      </c>
      <c r="H4" s="1" t="s">
        <v>162</v>
      </c>
      <c r="I4" s="1" t="s">
        <v>159</v>
      </c>
    </row>
    <row r="5" spans="1:9" x14ac:dyDescent="0.3">
      <c r="A5" s="2" t="s">
        <v>163</v>
      </c>
      <c r="B5" t="s">
        <v>164</v>
      </c>
      <c r="C5" s="2" t="s">
        <v>165</v>
      </c>
      <c r="D5" s="2" t="s">
        <v>166</v>
      </c>
      <c r="E5" s="2" t="s">
        <v>167</v>
      </c>
      <c r="F5" s="2" t="s">
        <v>168</v>
      </c>
      <c r="G5" s="2" t="s">
        <v>169</v>
      </c>
      <c r="H5" s="2" t="s">
        <v>170</v>
      </c>
      <c r="I5" s="2" t="s">
        <v>171</v>
      </c>
    </row>
    <row r="6" spans="1:9" x14ac:dyDescent="0.3">
      <c r="A6" s="2" t="s">
        <v>172</v>
      </c>
      <c r="B6" t="s">
        <v>173</v>
      </c>
      <c r="C6" s="1">
        <v>54</v>
      </c>
      <c r="D6" s="1">
        <v>33</v>
      </c>
      <c r="E6" s="1">
        <v>0</v>
      </c>
      <c r="F6" s="1" t="s">
        <v>174</v>
      </c>
      <c r="G6" s="1">
        <v>100</v>
      </c>
      <c r="H6" s="1">
        <v>0</v>
      </c>
      <c r="I6" s="1" t="s">
        <v>175</v>
      </c>
    </row>
    <row r="7" spans="1:9" x14ac:dyDescent="0.3">
      <c r="A7" s="2" t="s">
        <v>176</v>
      </c>
      <c r="B7" t="s">
        <v>177</v>
      </c>
      <c r="C7" s="1">
        <v>839</v>
      </c>
      <c r="D7" s="1">
        <v>58</v>
      </c>
      <c r="E7" s="1">
        <v>500</v>
      </c>
      <c r="F7" s="1" t="s">
        <v>174</v>
      </c>
      <c r="G7" s="1">
        <v>20</v>
      </c>
      <c r="H7" s="1">
        <v>6</v>
      </c>
      <c r="I7" s="1" t="s">
        <v>178</v>
      </c>
    </row>
    <row r="8" spans="1:9" x14ac:dyDescent="0.3">
      <c r="A8" s="2" t="s">
        <v>179</v>
      </c>
      <c r="B8" t="s">
        <v>180</v>
      </c>
      <c r="C8" s="1">
        <v>279</v>
      </c>
      <c r="D8" s="1">
        <v>28</v>
      </c>
      <c r="E8" s="1">
        <v>145</v>
      </c>
      <c r="F8" s="1" t="s">
        <v>174</v>
      </c>
      <c r="G8" s="1">
        <v>35</v>
      </c>
      <c r="H8" s="1">
        <v>8</v>
      </c>
      <c r="I8" s="1" t="s">
        <v>181</v>
      </c>
    </row>
    <row r="9" spans="1:9" x14ac:dyDescent="0.3">
      <c r="A9" s="2" t="s">
        <v>182</v>
      </c>
      <c r="B9" t="s">
        <v>183</v>
      </c>
      <c r="C9" s="1">
        <v>132</v>
      </c>
      <c r="D9" s="1">
        <v>27</v>
      </c>
      <c r="E9" s="1">
        <v>36</v>
      </c>
      <c r="F9" s="1" t="s">
        <v>174</v>
      </c>
      <c r="G9" s="1">
        <v>45</v>
      </c>
      <c r="H9" s="1">
        <v>8</v>
      </c>
      <c r="I9" s="1" t="s">
        <v>184</v>
      </c>
    </row>
    <row r="10" spans="1:9" x14ac:dyDescent="0.3">
      <c r="A10" s="2" t="s">
        <v>185</v>
      </c>
      <c r="B10" t="s">
        <v>186</v>
      </c>
      <c r="C10" s="1">
        <v>550</v>
      </c>
      <c r="D10" s="1">
        <v>35</v>
      </c>
      <c r="E10" s="1">
        <v>339</v>
      </c>
      <c r="F10" s="1" t="s">
        <v>174</v>
      </c>
      <c r="G10" s="1">
        <v>25</v>
      </c>
      <c r="H10" s="1">
        <v>8</v>
      </c>
      <c r="I10" s="1" t="s">
        <v>187</v>
      </c>
    </row>
    <row r="11" spans="1:9" x14ac:dyDescent="0.3">
      <c r="A11" s="2" t="s">
        <v>188</v>
      </c>
      <c r="B11" t="s">
        <v>189</v>
      </c>
      <c r="C11" s="1">
        <v>94</v>
      </c>
      <c r="D11" s="1">
        <v>66</v>
      </c>
      <c r="E11" s="1">
        <v>31</v>
      </c>
      <c r="F11" s="1" t="s">
        <v>174</v>
      </c>
      <c r="G11" s="1">
        <v>45</v>
      </c>
      <c r="H11" s="1">
        <v>2</v>
      </c>
      <c r="I11" s="1" t="s">
        <v>190</v>
      </c>
    </row>
    <row r="12" spans="1:9" x14ac:dyDescent="0.3">
      <c r="A12" s="2" t="s">
        <v>191</v>
      </c>
      <c r="B12" s="167" t="s">
        <v>112</v>
      </c>
      <c r="C12" s="1">
        <v>174</v>
      </c>
      <c r="D12" s="1">
        <v>74</v>
      </c>
      <c r="E12" s="1">
        <v>90</v>
      </c>
      <c r="F12" s="1" t="s">
        <v>174</v>
      </c>
      <c r="G12" s="1">
        <v>35</v>
      </c>
      <c r="H12" s="1">
        <v>2</v>
      </c>
      <c r="I12" s="1" t="s">
        <v>192</v>
      </c>
    </row>
    <row r="13" spans="1:9" x14ac:dyDescent="0.3">
      <c r="A13" s="2" t="s">
        <v>193</v>
      </c>
      <c r="B13" t="s">
        <v>194</v>
      </c>
      <c r="C13" s="1">
        <v>70</v>
      </c>
      <c r="D13" s="1">
        <v>50</v>
      </c>
      <c r="E13" s="1">
        <v>23</v>
      </c>
      <c r="F13" s="1" t="s">
        <v>174</v>
      </c>
      <c r="G13" s="1">
        <v>50</v>
      </c>
      <c r="H13" s="1">
        <v>2</v>
      </c>
      <c r="I13" s="1" t="s">
        <v>195</v>
      </c>
    </row>
    <row r="14" spans="1:9" x14ac:dyDescent="0.3">
      <c r="A14" s="2" t="s">
        <v>196</v>
      </c>
      <c r="B14" t="s">
        <v>109</v>
      </c>
      <c r="C14" s="1">
        <v>226</v>
      </c>
      <c r="D14" s="1">
        <v>68</v>
      </c>
      <c r="E14" s="1">
        <v>130</v>
      </c>
      <c r="F14" s="1" t="s">
        <v>174</v>
      </c>
      <c r="G14" s="1">
        <v>35</v>
      </c>
      <c r="H14" s="1">
        <v>2</v>
      </c>
      <c r="I14" s="1" t="s">
        <v>197</v>
      </c>
    </row>
    <row r="15" spans="1:9" x14ac:dyDescent="0.3">
      <c r="A15" s="2" t="s">
        <v>198</v>
      </c>
      <c r="B15" t="s">
        <v>199</v>
      </c>
      <c r="C15" s="1">
        <v>297</v>
      </c>
      <c r="D15" s="1">
        <v>69</v>
      </c>
      <c r="E15" s="1">
        <v>183</v>
      </c>
      <c r="F15" s="1" t="s">
        <v>174</v>
      </c>
      <c r="G15" s="1">
        <v>15</v>
      </c>
      <c r="H15" s="1">
        <v>2</v>
      </c>
      <c r="I15" s="1" t="s">
        <v>200</v>
      </c>
    </row>
    <row r="16" spans="1:9" x14ac:dyDescent="0.3">
      <c r="A16" s="2" t="s">
        <v>201</v>
      </c>
      <c r="B16" t="s">
        <v>118</v>
      </c>
      <c r="C16" s="1">
        <v>259</v>
      </c>
      <c r="D16" s="1">
        <v>69</v>
      </c>
      <c r="E16" s="1">
        <v>155</v>
      </c>
      <c r="F16" s="1" t="s">
        <v>174</v>
      </c>
      <c r="G16" s="1">
        <v>25</v>
      </c>
      <c r="H16" s="1">
        <v>2</v>
      </c>
      <c r="I16" s="1" t="s">
        <v>190</v>
      </c>
    </row>
    <row r="17" spans="1:9" x14ac:dyDescent="0.3">
      <c r="A17" s="2" t="s">
        <v>202</v>
      </c>
      <c r="B17" t="s">
        <v>203</v>
      </c>
      <c r="C17" s="1">
        <v>56</v>
      </c>
      <c r="D17" s="1">
        <v>13</v>
      </c>
      <c r="E17" s="1">
        <v>9</v>
      </c>
      <c r="F17" s="1" t="s">
        <v>174</v>
      </c>
      <c r="G17" s="1">
        <v>50</v>
      </c>
      <c r="H17" s="1">
        <v>8</v>
      </c>
      <c r="I17" s="1" t="s">
        <v>187</v>
      </c>
    </row>
    <row r="18" spans="1:9" x14ac:dyDescent="0.3">
      <c r="A18" s="2" t="s">
        <v>204</v>
      </c>
      <c r="B18" t="s">
        <v>205</v>
      </c>
      <c r="C18" s="1">
        <v>211</v>
      </c>
      <c r="D18" s="1">
        <v>27</v>
      </c>
      <c r="E18" s="1">
        <v>112</v>
      </c>
      <c r="F18" s="1" t="s">
        <v>174</v>
      </c>
      <c r="G18" s="1">
        <v>30</v>
      </c>
      <c r="H18" s="1">
        <v>12</v>
      </c>
      <c r="I18" s="1" t="s">
        <v>206</v>
      </c>
    </row>
    <row r="19" spans="1:9" x14ac:dyDescent="0.3">
      <c r="A19" s="2" t="s">
        <v>207</v>
      </c>
      <c r="B19" t="s">
        <v>208</v>
      </c>
      <c r="C19" s="1">
        <v>548</v>
      </c>
      <c r="D19" s="1">
        <v>75</v>
      </c>
      <c r="E19" s="1">
        <v>247</v>
      </c>
      <c r="F19" s="1" t="s">
        <v>174</v>
      </c>
      <c r="G19" s="1">
        <v>15</v>
      </c>
      <c r="H19" s="1">
        <v>15</v>
      </c>
      <c r="I19" s="1" t="s">
        <v>209</v>
      </c>
    </row>
    <row r="20" spans="1:9" x14ac:dyDescent="0.3">
      <c r="A20" s="2" t="s">
        <v>210</v>
      </c>
      <c r="B20" t="s">
        <v>211</v>
      </c>
      <c r="C20" s="1">
        <v>74</v>
      </c>
      <c r="D20" s="1">
        <v>24</v>
      </c>
      <c r="E20" s="1">
        <v>12</v>
      </c>
      <c r="F20" s="1" t="s">
        <v>174</v>
      </c>
      <c r="G20" s="1">
        <v>40</v>
      </c>
      <c r="H20" s="1">
        <v>12</v>
      </c>
      <c r="I20" s="1" t="s">
        <v>212</v>
      </c>
    </row>
    <row r="21" spans="1:9" ht="16.2" customHeight="1" x14ac:dyDescent="0.3">
      <c r="A21" s="2" t="s">
        <v>213</v>
      </c>
      <c r="B21" s="167" t="s">
        <v>214</v>
      </c>
      <c r="C21" s="1">
        <v>816</v>
      </c>
      <c r="D21" s="1">
        <v>79</v>
      </c>
      <c r="E21" s="1">
        <v>551</v>
      </c>
      <c r="F21" s="1" t="s">
        <v>174</v>
      </c>
      <c r="G21" s="1">
        <v>15</v>
      </c>
      <c r="H21" s="1">
        <v>15</v>
      </c>
      <c r="I21" s="1" t="s">
        <v>215</v>
      </c>
    </row>
    <row r="22" spans="1:9" x14ac:dyDescent="0.3">
      <c r="A22" s="2" t="s">
        <v>216</v>
      </c>
      <c r="B22" t="s">
        <v>217</v>
      </c>
      <c r="C22" s="1">
        <v>272</v>
      </c>
      <c r="D22" s="1">
        <v>17</v>
      </c>
      <c r="E22" s="1">
        <v>153</v>
      </c>
      <c r="F22" s="1" t="s">
        <v>174</v>
      </c>
      <c r="G22" s="1">
        <v>20</v>
      </c>
      <c r="H22" s="1">
        <v>12</v>
      </c>
      <c r="I22" s="1" t="s">
        <v>218</v>
      </c>
    </row>
    <row r="23" spans="1:9" x14ac:dyDescent="0.3">
      <c r="A23" s="2" t="s">
        <v>219</v>
      </c>
      <c r="B23" t="s">
        <v>220</v>
      </c>
      <c r="C23" s="1">
        <v>1297</v>
      </c>
      <c r="D23" s="1">
        <v>80</v>
      </c>
      <c r="E23" s="1">
        <v>911</v>
      </c>
      <c r="F23" s="1" t="s">
        <v>174</v>
      </c>
      <c r="G23" s="1">
        <v>15</v>
      </c>
      <c r="H23" s="1">
        <v>20</v>
      </c>
      <c r="I23" s="1" t="s">
        <v>215</v>
      </c>
    </row>
    <row r="24" spans="1:9" x14ac:dyDescent="0.3">
      <c r="A24" s="2" t="s">
        <v>221</v>
      </c>
      <c r="B24" t="s">
        <v>222</v>
      </c>
      <c r="C24" s="1">
        <v>76</v>
      </c>
      <c r="D24" s="1">
        <v>31</v>
      </c>
      <c r="E24" s="1">
        <v>0</v>
      </c>
      <c r="F24" s="1" t="s">
        <v>174</v>
      </c>
      <c r="G24" s="1">
        <v>100</v>
      </c>
      <c r="H24" s="1">
        <v>0</v>
      </c>
      <c r="I24" s="1" t="s">
        <v>187</v>
      </c>
    </row>
    <row r="26" spans="1:9" x14ac:dyDescent="0.3">
      <c r="B26" s="55" t="s">
        <v>223</v>
      </c>
    </row>
  </sheetData>
  <sortState xmlns:xlrd2="http://schemas.microsoft.com/office/spreadsheetml/2017/richdata2" ref="A6:I24">
    <sortCondition ref="B6:B24"/>
  </sortState>
  <mergeCells count="2">
    <mergeCell ref="C2:F2"/>
    <mergeCell ref="G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7FA3-4D8F-416A-8180-3F1712469FB5}">
  <dimension ref="B1:R25"/>
  <sheetViews>
    <sheetView zoomScale="105" workbookViewId="0">
      <selection activeCell="I22" sqref="I22"/>
    </sheetView>
  </sheetViews>
  <sheetFormatPr defaultColWidth="8.88671875" defaultRowHeight="14.4" x14ac:dyDescent="0.3"/>
  <cols>
    <col min="1" max="1" width="4.5546875" style="33" customWidth="1"/>
    <col min="2" max="2" width="14" style="33" customWidth="1"/>
    <col min="3" max="4" width="8.88671875" style="33"/>
    <col min="5" max="5" width="12.33203125" style="33" bestFit="1" customWidth="1"/>
    <col min="6" max="6" width="16.109375" style="33" customWidth="1"/>
    <col min="7" max="7" width="12.44140625" style="33" bestFit="1" customWidth="1"/>
    <col min="8" max="9" width="8.88671875" style="33"/>
    <col min="10" max="10" width="4.33203125" style="33" customWidth="1"/>
    <col min="11" max="14" width="8.88671875" style="33"/>
    <col min="15" max="15" width="12.6640625" style="33" bestFit="1" customWidth="1"/>
    <col min="16" max="16" width="8.88671875" style="33"/>
    <col min="17" max="17" width="11" style="33" bestFit="1" customWidth="1"/>
    <col min="18" max="18" width="14.6640625" style="33" customWidth="1"/>
    <col min="19" max="16384" width="8.88671875" style="33"/>
  </cols>
  <sheetData>
    <row r="1" spans="2:18" ht="7.95" customHeight="1" x14ac:dyDescent="0.3"/>
    <row r="2" spans="2:18" ht="18" x14ac:dyDescent="0.35">
      <c r="B2" s="58" t="s">
        <v>224</v>
      </c>
    </row>
    <row r="3" spans="2:18" x14ac:dyDescent="0.3">
      <c r="B3" s="3"/>
      <c r="C3" s="4"/>
      <c r="D3" s="4"/>
      <c r="E3" s="4"/>
      <c r="F3" s="4"/>
      <c r="G3" s="4"/>
      <c r="H3" s="4"/>
      <c r="I3" s="5"/>
      <c r="K3" s="34" t="s">
        <v>225</v>
      </c>
      <c r="L3" s="35"/>
      <c r="M3" s="35"/>
      <c r="N3" s="35"/>
      <c r="O3" s="35"/>
      <c r="P3" s="35"/>
      <c r="Q3" s="35"/>
      <c r="R3" s="36"/>
    </row>
    <row r="4" spans="2:18" x14ac:dyDescent="0.3">
      <c r="B4" s="6" t="s">
        <v>226</v>
      </c>
      <c r="C4" s="7"/>
      <c r="D4" s="7"/>
      <c r="E4" s="7"/>
      <c r="F4" s="7"/>
      <c r="G4" s="7"/>
      <c r="H4" s="7"/>
      <c r="I4" s="8"/>
      <c r="K4" s="40" t="s">
        <v>227</v>
      </c>
      <c r="L4" s="38"/>
      <c r="M4" s="41" t="s">
        <v>228</v>
      </c>
      <c r="N4" s="41" t="s">
        <v>229</v>
      </c>
      <c r="O4" s="41" t="s">
        <v>230</v>
      </c>
      <c r="P4" s="42"/>
      <c r="Q4" s="41" t="s">
        <v>231</v>
      </c>
      <c r="R4" s="43" t="s">
        <v>232</v>
      </c>
    </row>
    <row r="5" spans="2:18" x14ac:dyDescent="0.3">
      <c r="B5" s="6" t="s">
        <v>233</v>
      </c>
      <c r="C5" s="7"/>
      <c r="D5" s="7"/>
      <c r="E5" s="7"/>
      <c r="F5" s="7"/>
      <c r="G5" s="7"/>
      <c r="H5" s="7"/>
      <c r="I5" s="8"/>
      <c r="K5" s="44">
        <v>3.5000000000000003E-2</v>
      </c>
      <c r="L5" s="38"/>
      <c r="M5" s="42">
        <v>0</v>
      </c>
      <c r="N5" s="42">
        <v>5000</v>
      </c>
      <c r="O5" s="42">
        <f t="shared" ref="O5:O15" si="0">N5/(1+K$5)^M5</f>
        <v>5000</v>
      </c>
      <c r="P5" s="42"/>
      <c r="Q5" s="46">
        <f>SUM(O5:O15)</f>
        <v>6200.6548270386247</v>
      </c>
      <c r="R5" s="51">
        <f>Q8*((1-(1+K5)^-M15)/K5)</f>
        <v>6200.6548270386247</v>
      </c>
    </row>
    <row r="6" spans="2:18" x14ac:dyDescent="0.3">
      <c r="B6" s="25"/>
      <c r="C6" s="26"/>
      <c r="D6" s="26"/>
      <c r="E6" s="26"/>
      <c r="F6" s="26"/>
      <c r="G6" s="26"/>
      <c r="H6" s="26"/>
      <c r="I6" s="27"/>
      <c r="K6" s="44"/>
      <c r="L6" s="38"/>
      <c r="M6" s="42">
        <f>M5+1</f>
        <v>1</v>
      </c>
      <c r="N6" s="42">
        <v>60</v>
      </c>
      <c r="O6" s="46">
        <f t="shared" si="0"/>
        <v>57.971014492753625</v>
      </c>
      <c r="P6" s="47"/>
      <c r="Q6" s="46"/>
      <c r="R6" s="51"/>
    </row>
    <row r="7" spans="2:18" x14ac:dyDescent="0.3">
      <c r="B7" s="19"/>
      <c r="C7" s="20"/>
      <c r="D7" s="20"/>
      <c r="E7" s="20"/>
      <c r="F7" s="20"/>
      <c r="G7" s="20"/>
      <c r="H7" s="20"/>
      <c r="I7" s="21"/>
      <c r="K7" s="44"/>
      <c r="L7" s="38"/>
      <c r="M7" s="42">
        <f t="shared" ref="M7:M15" si="1">M6+1</f>
        <v>2</v>
      </c>
      <c r="N7" s="42">
        <v>90</v>
      </c>
      <c r="O7" s="46">
        <f t="shared" si="0"/>
        <v>84.015963032976273</v>
      </c>
      <c r="P7" s="47"/>
      <c r="Q7" s="52" t="s">
        <v>55</v>
      </c>
      <c r="R7" s="51"/>
    </row>
    <row r="8" spans="2:18" x14ac:dyDescent="0.3">
      <c r="B8" s="9" t="s">
        <v>234</v>
      </c>
      <c r="C8" s="10"/>
      <c r="D8" s="10"/>
      <c r="E8" s="10"/>
      <c r="F8" s="10"/>
      <c r="G8" s="10"/>
      <c r="H8" s="10"/>
      <c r="I8" s="11"/>
      <c r="K8" s="44"/>
      <c r="L8" s="38"/>
      <c r="M8" s="42">
        <f t="shared" si="1"/>
        <v>3</v>
      </c>
      <c r="N8" s="42">
        <v>80</v>
      </c>
      <c r="O8" s="46">
        <f t="shared" si="0"/>
        <v>72.155416453441788</v>
      </c>
      <c r="P8" s="47"/>
      <c r="Q8" s="46">
        <f>(1+K5)^M15*K5/((1+K5)^M15-1)*SUM(O5:O15)</f>
        <v>745.57521807666819</v>
      </c>
      <c r="R8" s="51"/>
    </row>
    <row r="9" spans="2:18" x14ac:dyDescent="0.3">
      <c r="B9" s="9" t="s">
        <v>235</v>
      </c>
      <c r="C9" s="10"/>
      <c r="D9" s="10"/>
      <c r="E9" s="10"/>
      <c r="F9" s="10"/>
      <c r="G9" s="10"/>
      <c r="H9" s="10"/>
      <c r="I9" s="11"/>
      <c r="K9" s="44"/>
      <c r="L9" s="38"/>
      <c r="M9" s="42">
        <f t="shared" si="1"/>
        <v>4</v>
      </c>
      <c r="N9" s="42">
        <v>70</v>
      </c>
      <c r="O9" s="46">
        <f t="shared" si="0"/>
        <v>61.00095593890007</v>
      </c>
      <c r="P9" s="47"/>
      <c r="Q9" s="42"/>
      <c r="R9" s="45"/>
    </row>
    <row r="10" spans="2:18" x14ac:dyDescent="0.3">
      <c r="B10" s="9" t="s">
        <v>236</v>
      </c>
      <c r="C10" s="10"/>
      <c r="D10" s="18" t="s">
        <v>237</v>
      </c>
      <c r="E10" s="10"/>
      <c r="F10" s="10"/>
      <c r="G10" s="10"/>
      <c r="H10" s="10"/>
      <c r="I10" s="11"/>
      <c r="K10" s="44"/>
      <c r="L10" s="38"/>
      <c r="M10" s="42">
        <f t="shared" si="1"/>
        <v>5</v>
      </c>
      <c r="N10" s="42">
        <v>200</v>
      </c>
      <c r="O10" s="46">
        <f t="shared" si="0"/>
        <v>168.39463337170483</v>
      </c>
      <c r="P10" s="47"/>
      <c r="Q10" s="42"/>
      <c r="R10" s="45"/>
    </row>
    <row r="11" spans="2:18" x14ac:dyDescent="0.3">
      <c r="B11" s="22"/>
      <c r="C11" s="23"/>
      <c r="D11" s="23"/>
      <c r="E11" s="23"/>
      <c r="F11" s="23"/>
      <c r="G11" s="23"/>
      <c r="H11" s="23"/>
      <c r="I11" s="24"/>
      <c r="K11" s="37"/>
      <c r="L11" s="38"/>
      <c r="M11" s="42">
        <f t="shared" si="1"/>
        <v>6</v>
      </c>
      <c r="N11" s="42">
        <v>300</v>
      </c>
      <c r="O11" s="46">
        <f t="shared" si="0"/>
        <v>244.05019329232584</v>
      </c>
      <c r="P11" s="38"/>
      <c r="Q11" s="38"/>
      <c r="R11" s="39"/>
    </row>
    <row r="12" spans="2:18" x14ac:dyDescent="0.3">
      <c r="B12" s="28"/>
      <c r="C12" s="29"/>
      <c r="D12" s="29"/>
      <c r="E12" s="29"/>
      <c r="F12" s="29"/>
      <c r="G12" s="29"/>
      <c r="H12" s="29"/>
      <c r="I12" s="30"/>
      <c r="K12" s="37"/>
      <c r="L12" s="38"/>
      <c r="M12" s="42">
        <f t="shared" si="1"/>
        <v>7</v>
      </c>
      <c r="N12" s="42">
        <v>150</v>
      </c>
      <c r="O12" s="46">
        <f t="shared" si="0"/>
        <v>117.89864410257287</v>
      </c>
      <c r="P12" s="38"/>
      <c r="Q12" s="38"/>
      <c r="R12" s="39"/>
    </row>
    <row r="13" spans="2:18" x14ac:dyDescent="0.3">
      <c r="B13" s="12" t="s">
        <v>238</v>
      </c>
      <c r="C13" s="13"/>
      <c r="D13" s="13"/>
      <c r="E13" s="13"/>
      <c r="F13" s="13"/>
      <c r="G13" s="13"/>
      <c r="H13" s="13"/>
      <c r="I13" s="14"/>
      <c r="K13" s="37"/>
      <c r="L13" s="38"/>
      <c r="M13" s="42">
        <f t="shared" si="1"/>
        <v>8</v>
      </c>
      <c r="N13" s="42">
        <v>60</v>
      </c>
      <c r="O13" s="46">
        <f t="shared" si="0"/>
        <v>45.564693372975036</v>
      </c>
      <c r="P13" s="38"/>
      <c r="Q13" s="38"/>
      <c r="R13" s="39"/>
    </row>
    <row r="14" spans="2:18" x14ac:dyDescent="0.3">
      <c r="B14" s="12" t="s">
        <v>239</v>
      </c>
      <c r="C14" s="13"/>
      <c r="D14" s="13"/>
      <c r="E14" s="13"/>
      <c r="F14" s="13"/>
      <c r="G14" s="13"/>
      <c r="H14" s="13"/>
      <c r="I14" s="14"/>
      <c r="K14" s="37"/>
      <c r="L14" s="38"/>
      <c r="M14" s="42">
        <f t="shared" si="1"/>
        <v>9</v>
      </c>
      <c r="N14" s="42">
        <v>90</v>
      </c>
      <c r="O14" s="46">
        <f t="shared" si="0"/>
        <v>66.035787497065272</v>
      </c>
      <c r="P14" s="38"/>
      <c r="Q14" s="38"/>
      <c r="R14" s="39"/>
    </row>
    <row r="15" spans="2:18" x14ac:dyDescent="0.3">
      <c r="B15" s="31" t="s">
        <v>240</v>
      </c>
      <c r="C15" s="13"/>
      <c r="D15" s="13"/>
      <c r="E15" s="13"/>
      <c r="F15" s="13"/>
      <c r="G15" s="13"/>
      <c r="H15" s="13"/>
      <c r="I15" s="14"/>
      <c r="K15" s="37"/>
      <c r="L15" s="38"/>
      <c r="M15" s="42">
        <f t="shared" si="1"/>
        <v>10</v>
      </c>
      <c r="N15" s="42">
        <v>400</v>
      </c>
      <c r="O15" s="46">
        <f t="shared" si="0"/>
        <v>283.56752548390887</v>
      </c>
      <c r="P15" s="38"/>
      <c r="Q15" s="38"/>
      <c r="R15" s="39"/>
    </row>
    <row r="16" spans="2:18" x14ac:dyDescent="0.3">
      <c r="B16" s="15"/>
      <c r="C16" s="16"/>
      <c r="D16" s="16"/>
      <c r="E16" s="16"/>
      <c r="F16" s="16"/>
      <c r="G16" s="16"/>
      <c r="H16" s="16"/>
      <c r="I16" s="17"/>
      <c r="K16" s="48"/>
      <c r="L16" s="49"/>
      <c r="M16" s="49"/>
      <c r="N16" s="49"/>
      <c r="O16" s="49"/>
      <c r="P16" s="49"/>
      <c r="Q16" s="49"/>
      <c r="R16" s="50"/>
    </row>
    <row r="18" spans="2:2" ht="18" x14ac:dyDescent="0.35">
      <c r="B18" s="58" t="s">
        <v>241</v>
      </c>
    </row>
    <row r="19" spans="2:2" x14ac:dyDescent="0.3">
      <c r="B19" s="33" t="s">
        <v>94</v>
      </c>
    </row>
    <row r="20" spans="2:2" x14ac:dyDescent="0.3">
      <c r="B20" s="61" t="s">
        <v>242</v>
      </c>
    </row>
    <row r="21" spans="2:2" x14ac:dyDescent="0.3">
      <c r="B21" s="61" t="s">
        <v>243</v>
      </c>
    </row>
    <row r="22" spans="2:2" x14ac:dyDescent="0.3">
      <c r="B22" s="61" t="s">
        <v>244</v>
      </c>
    </row>
    <row r="23" spans="2:2" x14ac:dyDescent="0.3">
      <c r="B23" s="61" t="s">
        <v>245</v>
      </c>
    </row>
    <row r="25" spans="2:2" x14ac:dyDescent="0.3">
      <c r="B25" s="217" t="s">
        <v>246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AAB82-8796-4A9E-80EE-A1455E7CB9A2}">
  <dimension ref="A1:C38"/>
  <sheetViews>
    <sheetView workbookViewId="0">
      <selection activeCell="B2" sqref="B2"/>
    </sheetView>
  </sheetViews>
  <sheetFormatPr defaultRowHeight="14.4" x14ac:dyDescent="0.3"/>
  <cols>
    <col min="2" max="2" width="27.44140625" bestFit="1" customWidth="1"/>
  </cols>
  <sheetData>
    <row r="1" spans="1:3" ht="16.2" thickBot="1" x14ac:dyDescent="0.35">
      <c r="A1" s="229" t="s">
        <v>38</v>
      </c>
      <c r="B1" s="223" t="s">
        <v>330</v>
      </c>
      <c r="C1" t="s">
        <v>301</v>
      </c>
    </row>
    <row r="2" spans="1:3" ht="16.2" thickBot="1" x14ac:dyDescent="0.35">
      <c r="A2" s="225">
        <v>2019</v>
      </c>
      <c r="B2" s="224">
        <v>1.38</v>
      </c>
    </row>
    <row r="3" spans="1:3" ht="16.2" thickBot="1" x14ac:dyDescent="0.35">
      <c r="A3" s="226">
        <v>2020</v>
      </c>
      <c r="B3" s="224">
        <v>1.5206299999999999</v>
      </c>
    </row>
    <row r="4" spans="1:3" ht="16.2" thickBot="1" x14ac:dyDescent="0.35">
      <c r="A4" s="227">
        <v>2021</v>
      </c>
      <c r="B4" s="224">
        <v>1.66126</v>
      </c>
    </row>
    <row r="5" spans="1:3" ht="16.2" thickBot="1" x14ac:dyDescent="0.35">
      <c r="A5" s="228">
        <v>2022</v>
      </c>
      <c r="B5" s="224">
        <v>1.8018899999999998</v>
      </c>
    </row>
    <row r="6" spans="1:3" ht="16.2" thickBot="1" x14ac:dyDescent="0.35">
      <c r="A6" s="226">
        <v>2023</v>
      </c>
      <c r="B6" s="224">
        <v>1.9425199999999996</v>
      </c>
    </row>
    <row r="7" spans="1:3" ht="16.2" thickBot="1" x14ac:dyDescent="0.35">
      <c r="A7" s="226">
        <v>2024</v>
      </c>
      <c r="B7" s="224">
        <v>2.0831499999999998</v>
      </c>
    </row>
    <row r="8" spans="1:3" ht="16.2" thickBot="1" x14ac:dyDescent="0.35">
      <c r="A8" s="226">
        <v>2025</v>
      </c>
      <c r="B8" s="224">
        <v>2.2237799999999996</v>
      </c>
    </row>
    <row r="9" spans="1:3" ht="16.2" thickBot="1" x14ac:dyDescent="0.35">
      <c r="A9" s="226">
        <v>2026</v>
      </c>
      <c r="B9" s="224">
        <v>2.3644099999999995</v>
      </c>
    </row>
    <row r="10" spans="1:3" ht="16.2" thickBot="1" x14ac:dyDescent="0.35">
      <c r="A10" s="226">
        <v>2027</v>
      </c>
      <c r="B10" s="224">
        <v>2.5050399999999997</v>
      </c>
    </row>
    <row r="11" spans="1:3" ht="16.2" thickBot="1" x14ac:dyDescent="0.35">
      <c r="A11" s="226">
        <v>2028</v>
      </c>
      <c r="B11" s="224">
        <v>2.64567</v>
      </c>
    </row>
    <row r="12" spans="1:3" ht="16.2" thickBot="1" x14ac:dyDescent="0.35">
      <c r="A12" s="226">
        <v>2029</v>
      </c>
      <c r="B12" s="224">
        <v>2.7862999999999998</v>
      </c>
    </row>
    <row r="13" spans="1:3" ht="16.2" thickBot="1" x14ac:dyDescent="0.35">
      <c r="A13" s="226">
        <v>2030</v>
      </c>
      <c r="B13" s="224">
        <v>2.9269299999999996</v>
      </c>
    </row>
    <row r="14" spans="1:3" ht="16.2" thickBot="1" x14ac:dyDescent="0.35">
      <c r="A14" s="227">
        <v>2031</v>
      </c>
      <c r="B14" s="224">
        <v>3.0675599999999998</v>
      </c>
    </row>
    <row r="15" spans="1:3" ht="16.2" thickBot="1" x14ac:dyDescent="0.35">
      <c r="A15" s="227">
        <v>2032</v>
      </c>
      <c r="B15" s="224">
        <v>3.2081899999999997</v>
      </c>
    </row>
    <row r="16" spans="1:3" ht="16.2" thickBot="1" x14ac:dyDescent="0.35">
      <c r="A16" s="228">
        <v>2033</v>
      </c>
      <c r="B16" s="224">
        <v>3.3488199999999995</v>
      </c>
    </row>
    <row r="17" spans="1:2" ht="16.2" thickBot="1" x14ac:dyDescent="0.35">
      <c r="A17" s="227">
        <v>2034</v>
      </c>
      <c r="B17" s="224">
        <v>3.4894499999999993</v>
      </c>
    </row>
    <row r="18" spans="1:2" ht="16.2" thickBot="1" x14ac:dyDescent="0.35">
      <c r="A18" s="228">
        <v>2035</v>
      </c>
      <c r="B18" s="224">
        <v>3.6300799999999991</v>
      </c>
    </row>
    <row r="19" spans="1:2" ht="16.2" thickBot="1" x14ac:dyDescent="0.35">
      <c r="A19" s="226">
        <v>2036</v>
      </c>
      <c r="B19" s="224">
        <v>3.7707099999999989</v>
      </c>
    </row>
    <row r="20" spans="1:2" ht="16.2" thickBot="1" x14ac:dyDescent="0.35">
      <c r="A20" s="226">
        <v>2037</v>
      </c>
      <c r="B20" s="224">
        <v>3.9113399999999987</v>
      </c>
    </row>
    <row r="21" spans="1:2" ht="16.2" thickBot="1" x14ac:dyDescent="0.35">
      <c r="A21" s="227">
        <v>2038</v>
      </c>
      <c r="B21" s="224">
        <v>4.051969999999999</v>
      </c>
    </row>
    <row r="22" spans="1:2" ht="16.2" thickBot="1" x14ac:dyDescent="0.35">
      <c r="A22" s="227">
        <v>2039</v>
      </c>
      <c r="B22" s="224">
        <v>4.1925999999999988</v>
      </c>
    </row>
    <row r="23" spans="1:2" ht="16.2" thickBot="1" x14ac:dyDescent="0.35">
      <c r="A23" s="227">
        <v>2040</v>
      </c>
      <c r="B23" s="224">
        <v>4.3332299999999986</v>
      </c>
    </row>
    <row r="24" spans="1:2" ht="16.2" thickBot="1" x14ac:dyDescent="0.35">
      <c r="A24" s="228">
        <v>2041</v>
      </c>
      <c r="B24" s="224">
        <v>4.4738599999999984</v>
      </c>
    </row>
    <row r="25" spans="1:2" ht="16.2" thickBot="1" x14ac:dyDescent="0.35">
      <c r="A25" s="226">
        <v>2042</v>
      </c>
      <c r="B25" s="224">
        <v>4.6144899999999982</v>
      </c>
    </row>
    <row r="26" spans="1:2" ht="16.2" thickBot="1" x14ac:dyDescent="0.35">
      <c r="A26" s="226">
        <v>2043</v>
      </c>
      <c r="B26" s="224">
        <v>4.755119999999998</v>
      </c>
    </row>
    <row r="27" spans="1:2" ht="16.2" thickBot="1" x14ac:dyDescent="0.35">
      <c r="A27" s="227">
        <v>2044</v>
      </c>
      <c r="B27" s="224">
        <v>4.8957499999999978</v>
      </c>
    </row>
    <row r="28" spans="1:2" ht="16.2" thickBot="1" x14ac:dyDescent="0.35">
      <c r="A28" s="228">
        <v>2045</v>
      </c>
      <c r="B28" s="224">
        <v>5.0363799999999976</v>
      </c>
    </row>
    <row r="29" spans="1:2" ht="16.2" thickBot="1" x14ac:dyDescent="0.35">
      <c r="A29" s="227">
        <v>2046</v>
      </c>
      <c r="B29" s="224">
        <v>5.0531251482548605</v>
      </c>
    </row>
    <row r="30" spans="1:2" ht="16.2" thickBot="1" x14ac:dyDescent="0.35">
      <c r="A30" s="227">
        <v>2047</v>
      </c>
      <c r="B30" s="224">
        <v>5.0619681172643061</v>
      </c>
    </row>
    <row r="31" spans="1:2" ht="16.2" thickBot="1" x14ac:dyDescent="0.35">
      <c r="A31" s="228">
        <v>2048</v>
      </c>
      <c r="B31" s="224">
        <v>5.0708265614695183</v>
      </c>
    </row>
    <row r="32" spans="1:2" ht="16.2" thickBot="1" x14ac:dyDescent="0.35">
      <c r="A32" s="226">
        <v>2049</v>
      </c>
      <c r="B32" s="224">
        <v>5.0797005079520892</v>
      </c>
    </row>
    <row r="33" spans="1:2" ht="16.2" thickBot="1" x14ac:dyDescent="0.35">
      <c r="A33" s="226">
        <v>2050</v>
      </c>
      <c r="B33" s="224">
        <v>5.0885899838410049</v>
      </c>
    </row>
    <row r="34" spans="1:2" ht="16.2" thickBot="1" x14ac:dyDescent="0.35">
      <c r="A34" s="226">
        <v>2051</v>
      </c>
      <c r="B34" s="224">
        <v>5.0974950163127266</v>
      </c>
    </row>
    <row r="35" spans="1:2" ht="16.2" thickBot="1" x14ac:dyDescent="0.35">
      <c r="A35" s="227">
        <v>2052</v>
      </c>
      <c r="B35" s="224">
        <v>5.1064156325912737</v>
      </c>
    </row>
    <row r="36" spans="1:2" ht="16.2" thickBot="1" x14ac:dyDescent="0.35">
      <c r="A36" s="228">
        <v>2053</v>
      </c>
      <c r="B36" s="224">
        <v>5.1153518599483077</v>
      </c>
    </row>
    <row r="37" spans="1:2" ht="16.2" thickBot="1" x14ac:dyDescent="0.35">
      <c r="A37" s="227">
        <v>2054</v>
      </c>
      <c r="B37" s="224">
        <v>5.1243037257032169</v>
      </c>
    </row>
    <row r="38" spans="1:2" ht="16.2" thickBot="1" x14ac:dyDescent="0.35">
      <c r="A38" s="228">
        <v>2055</v>
      </c>
      <c r="B38" s="224">
        <v>5.1332712572231971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3526-9AC2-46EA-B815-EC7FCC78A064}">
  <dimension ref="A1:S25"/>
  <sheetViews>
    <sheetView workbookViewId="0">
      <selection activeCell="T9" sqref="T9"/>
    </sheetView>
  </sheetViews>
  <sheetFormatPr defaultRowHeight="14.4" x14ac:dyDescent="0.3"/>
  <cols>
    <col min="1" max="1" width="19.33203125" customWidth="1"/>
    <col min="2" max="2" width="18.77734375" customWidth="1"/>
    <col min="3" max="3" width="13.77734375" customWidth="1"/>
    <col min="7" max="7" width="18" customWidth="1"/>
    <col min="8" max="8" width="11.6640625" customWidth="1"/>
    <col min="9" max="9" width="12.88671875" customWidth="1"/>
    <col min="10" max="10" width="19.109375" customWidth="1"/>
    <col min="12" max="12" width="18.5546875" customWidth="1"/>
  </cols>
  <sheetData>
    <row r="1" spans="1:19" x14ac:dyDescent="0.3">
      <c r="A1" t="s">
        <v>303</v>
      </c>
      <c r="B1" t="s">
        <v>304</v>
      </c>
      <c r="C1" t="s">
        <v>305</v>
      </c>
      <c r="L1" t="s">
        <v>315</v>
      </c>
      <c r="M1" t="s">
        <v>316</v>
      </c>
      <c r="N1" t="s">
        <v>317</v>
      </c>
      <c r="O1" t="s">
        <v>318</v>
      </c>
      <c r="P1" t="s">
        <v>319</v>
      </c>
      <c r="Q1" t="s">
        <v>320</v>
      </c>
      <c r="R1" t="s">
        <v>327</v>
      </c>
      <c r="S1" t="s">
        <v>328</v>
      </c>
    </row>
    <row r="2" spans="1:19" x14ac:dyDescent="0.3">
      <c r="A2">
        <v>0</v>
      </c>
      <c r="B2">
        <f xml:space="preserve"> 100 - A2</f>
        <v>100</v>
      </c>
      <c r="C2">
        <f>A2*$R$2 + B2*$R$3</f>
        <v>0.64649243466299866</v>
      </c>
      <c r="G2" s="230"/>
      <c r="H2" s="230"/>
      <c r="L2" t="s">
        <v>321</v>
      </c>
      <c r="M2">
        <v>2020</v>
      </c>
      <c r="N2">
        <v>43.25</v>
      </c>
      <c r="O2" t="s">
        <v>322</v>
      </c>
      <c r="P2">
        <v>2.75</v>
      </c>
      <c r="Q2" t="s">
        <v>323</v>
      </c>
      <c r="R2">
        <f>P2/N2</f>
        <v>6.358381502890173E-2</v>
      </c>
      <c r="S2" t="s">
        <v>329</v>
      </c>
    </row>
    <row r="3" spans="1:19" x14ac:dyDescent="0.3">
      <c r="A3">
        <f>A2+5</f>
        <v>5</v>
      </c>
      <c r="B3">
        <f t="shared" ref="B3:B22" si="0" xml:space="preserve"> 100 - A3</f>
        <v>95</v>
      </c>
      <c r="C3">
        <f t="shared" ref="C3:C32" si="1">A3*$R$2 + B3*$R$3</f>
        <v>0.93208688807435736</v>
      </c>
      <c r="G3" s="231"/>
      <c r="H3" s="231"/>
      <c r="I3" s="231"/>
      <c r="L3" t="s">
        <v>325</v>
      </c>
      <c r="M3">
        <v>2020</v>
      </c>
      <c r="N3">
        <v>7.27</v>
      </c>
      <c r="O3" t="s">
        <v>326</v>
      </c>
      <c r="P3">
        <v>4.7E-2</v>
      </c>
      <c r="Q3" t="s">
        <v>324</v>
      </c>
      <c r="R3">
        <f>P3/N3</f>
        <v>6.4649243466299864E-3</v>
      </c>
    </row>
    <row r="4" spans="1:19" x14ac:dyDescent="0.3">
      <c r="A4">
        <f t="shared" ref="A4:A25" si="2">A3+5</f>
        <v>10</v>
      </c>
      <c r="B4">
        <f t="shared" si="0"/>
        <v>90</v>
      </c>
      <c r="C4">
        <f t="shared" si="1"/>
        <v>1.2176813414857162</v>
      </c>
      <c r="G4" s="231"/>
      <c r="H4" s="231"/>
      <c r="I4" s="231"/>
    </row>
    <row r="5" spans="1:19" x14ac:dyDescent="0.3">
      <c r="A5">
        <f t="shared" si="2"/>
        <v>15</v>
      </c>
      <c r="B5">
        <f t="shared" si="0"/>
        <v>85</v>
      </c>
      <c r="C5">
        <f t="shared" si="1"/>
        <v>1.5032757948970747</v>
      </c>
      <c r="G5" s="231"/>
      <c r="H5" s="231"/>
      <c r="I5" s="231"/>
    </row>
    <row r="6" spans="1:19" x14ac:dyDescent="0.3">
      <c r="A6">
        <f t="shared" si="2"/>
        <v>20</v>
      </c>
      <c r="B6">
        <f t="shared" si="0"/>
        <v>80</v>
      </c>
      <c r="C6">
        <f t="shared" si="1"/>
        <v>1.7888702483084336</v>
      </c>
      <c r="G6" s="231"/>
      <c r="H6" s="231"/>
      <c r="I6" s="231"/>
    </row>
    <row r="7" spans="1:19" x14ac:dyDescent="0.3">
      <c r="A7">
        <f t="shared" si="2"/>
        <v>25</v>
      </c>
      <c r="B7">
        <f t="shared" si="0"/>
        <v>75</v>
      </c>
      <c r="C7">
        <f t="shared" si="1"/>
        <v>2.0744647017197924</v>
      </c>
      <c r="G7" s="231"/>
      <c r="H7" s="231"/>
      <c r="I7" s="231"/>
    </row>
    <row r="8" spans="1:19" x14ac:dyDescent="0.3">
      <c r="A8">
        <f t="shared" si="2"/>
        <v>30</v>
      </c>
      <c r="B8">
        <f t="shared" si="0"/>
        <v>70</v>
      </c>
      <c r="C8">
        <f t="shared" si="1"/>
        <v>2.3600591551311507</v>
      </c>
      <c r="G8" s="231"/>
      <c r="H8" s="231"/>
      <c r="I8" s="231"/>
    </row>
    <row r="9" spans="1:19" x14ac:dyDescent="0.3">
      <c r="A9">
        <f t="shared" si="2"/>
        <v>35</v>
      </c>
      <c r="B9">
        <f t="shared" si="0"/>
        <v>65</v>
      </c>
      <c r="C9">
        <f t="shared" si="1"/>
        <v>2.64565360854251</v>
      </c>
    </row>
    <row r="10" spans="1:19" x14ac:dyDescent="0.3">
      <c r="A10">
        <f t="shared" si="2"/>
        <v>40</v>
      </c>
      <c r="B10">
        <f t="shared" si="0"/>
        <v>60</v>
      </c>
      <c r="C10">
        <f t="shared" si="1"/>
        <v>2.9312480619538688</v>
      </c>
    </row>
    <row r="11" spans="1:19" x14ac:dyDescent="0.3">
      <c r="A11">
        <f t="shared" si="2"/>
        <v>45</v>
      </c>
      <c r="B11">
        <f t="shared" si="0"/>
        <v>55</v>
      </c>
      <c r="C11">
        <f t="shared" si="1"/>
        <v>3.2168425153652267</v>
      </c>
    </row>
    <row r="12" spans="1:19" x14ac:dyDescent="0.3">
      <c r="A12">
        <f t="shared" si="2"/>
        <v>50</v>
      </c>
      <c r="B12">
        <f t="shared" si="0"/>
        <v>50</v>
      </c>
      <c r="C12">
        <f t="shared" si="1"/>
        <v>3.5024369687765855</v>
      </c>
    </row>
    <row r="13" spans="1:19" x14ac:dyDescent="0.3">
      <c r="A13">
        <f t="shared" si="2"/>
        <v>55</v>
      </c>
      <c r="B13">
        <f t="shared" si="0"/>
        <v>45</v>
      </c>
      <c r="C13">
        <f t="shared" si="1"/>
        <v>3.7880314221879443</v>
      </c>
    </row>
    <row r="14" spans="1:19" x14ac:dyDescent="0.3">
      <c r="A14">
        <f t="shared" si="2"/>
        <v>60</v>
      </c>
      <c r="B14">
        <f t="shared" si="0"/>
        <v>40</v>
      </c>
      <c r="C14">
        <f t="shared" si="1"/>
        <v>4.0736258755993031</v>
      </c>
    </row>
    <row r="15" spans="1:19" x14ac:dyDescent="0.3">
      <c r="A15">
        <f t="shared" si="2"/>
        <v>65</v>
      </c>
      <c r="B15">
        <f t="shared" si="0"/>
        <v>35</v>
      </c>
      <c r="C15">
        <f t="shared" si="1"/>
        <v>4.3592203290106619</v>
      </c>
    </row>
    <row r="16" spans="1:19" x14ac:dyDescent="0.3">
      <c r="A16">
        <f t="shared" si="2"/>
        <v>70</v>
      </c>
      <c r="B16">
        <f t="shared" si="0"/>
        <v>30</v>
      </c>
      <c r="C16">
        <f t="shared" si="1"/>
        <v>4.6448147824220207</v>
      </c>
    </row>
    <row r="17" spans="1:16" x14ac:dyDescent="0.3">
      <c r="A17">
        <f t="shared" si="2"/>
        <v>75</v>
      </c>
      <c r="B17">
        <f t="shared" si="0"/>
        <v>25</v>
      </c>
      <c r="C17">
        <f t="shared" si="1"/>
        <v>4.9304092358333795</v>
      </c>
    </row>
    <row r="18" spans="1:16" x14ac:dyDescent="0.3">
      <c r="A18">
        <f t="shared" si="2"/>
        <v>80</v>
      </c>
      <c r="B18">
        <f t="shared" si="0"/>
        <v>20</v>
      </c>
      <c r="C18">
        <f t="shared" si="1"/>
        <v>5.2160036892447383</v>
      </c>
    </row>
    <row r="19" spans="1:16" x14ac:dyDescent="0.3">
      <c r="A19">
        <f t="shared" si="2"/>
        <v>85</v>
      </c>
      <c r="B19">
        <f t="shared" si="0"/>
        <v>15</v>
      </c>
      <c r="C19">
        <f t="shared" si="1"/>
        <v>5.5015981426560971</v>
      </c>
      <c r="L19" s="230"/>
      <c r="M19" s="230"/>
      <c r="N19" s="230"/>
      <c r="O19" s="230"/>
      <c r="P19" s="230"/>
    </row>
    <row r="20" spans="1:16" x14ac:dyDescent="0.3">
      <c r="A20">
        <f t="shared" si="2"/>
        <v>90</v>
      </c>
      <c r="B20">
        <f t="shared" si="0"/>
        <v>10</v>
      </c>
      <c r="C20">
        <f t="shared" si="1"/>
        <v>5.7871925960674551</v>
      </c>
      <c r="L20" s="231"/>
      <c r="M20" s="231"/>
      <c r="N20" s="231"/>
      <c r="O20" s="231"/>
    </row>
    <row r="21" spans="1:16" x14ac:dyDescent="0.3">
      <c r="A21">
        <f t="shared" si="2"/>
        <v>95</v>
      </c>
      <c r="B21">
        <f t="shared" si="0"/>
        <v>5</v>
      </c>
      <c r="C21">
        <f t="shared" si="1"/>
        <v>6.0727870494788148</v>
      </c>
      <c r="L21" s="231"/>
      <c r="M21" s="231"/>
      <c r="N21" s="231"/>
      <c r="O21" s="231"/>
    </row>
    <row r="22" spans="1:16" x14ac:dyDescent="0.3">
      <c r="A22">
        <f t="shared" si="2"/>
        <v>100</v>
      </c>
      <c r="B22">
        <f t="shared" si="0"/>
        <v>0</v>
      </c>
      <c r="C22">
        <f t="shared" si="1"/>
        <v>6.3583815028901727</v>
      </c>
      <c r="L22" s="231"/>
      <c r="M22" s="231"/>
      <c r="N22" s="231"/>
      <c r="O22" s="231"/>
    </row>
    <row r="23" spans="1:16" x14ac:dyDescent="0.3">
      <c r="L23" s="231"/>
      <c r="M23" s="231"/>
      <c r="N23" s="231"/>
      <c r="O23" s="231"/>
    </row>
    <row r="24" spans="1:16" x14ac:dyDescent="0.3">
      <c r="L24" s="231"/>
      <c r="M24" s="231"/>
      <c r="N24" s="231"/>
      <c r="O24" s="231"/>
    </row>
    <row r="25" spans="1:16" x14ac:dyDescent="0.3">
      <c r="L25" s="231"/>
      <c r="M25" s="231"/>
      <c r="N25" s="231"/>
      <c r="O25" s="23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ec815d-4f26-4607-8475-2e9d903770b6">
      <Terms xmlns="http://schemas.microsoft.com/office/infopath/2007/PartnerControls"/>
    </lcf76f155ced4ddcb4097134ff3c332f>
    <TaxCatchAll xmlns="51def2a5-4310-4eb1-8e7f-d05231fbe7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0BBAAF5B6E7334E92AD404531F7A6F7" ma:contentTypeVersion="11" ma:contentTypeDescription="Skapa ett nytt dokument." ma:contentTypeScope="" ma:versionID="5d2b631ed35b6fabae17b34a6dae9174">
  <xsd:schema xmlns:xsd="http://www.w3.org/2001/XMLSchema" xmlns:xs="http://www.w3.org/2001/XMLSchema" xmlns:p="http://schemas.microsoft.com/office/2006/metadata/properties" xmlns:ns2="75ec815d-4f26-4607-8475-2e9d903770b6" xmlns:ns3="51def2a5-4310-4eb1-8e7f-d05231fbe784" targetNamespace="http://schemas.microsoft.com/office/2006/metadata/properties" ma:root="true" ma:fieldsID="64ef8f22ee785b675903b1d9127d0dec" ns2:_="" ns3:_="">
    <xsd:import namespace="75ec815d-4f26-4607-8475-2e9d903770b6"/>
    <xsd:import namespace="51def2a5-4310-4eb1-8e7f-d05231fbe7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ec815d-4f26-4607-8475-2e9d903770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eringar" ma:readOnly="false" ma:fieldId="{5cf76f15-5ced-4ddc-b409-7134ff3c332f}" ma:taxonomyMulti="true" ma:sspId="08815693-9c28-4121-8d74-bff1625480a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def2a5-4310-4eb1-8e7f-d05231fbe7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0e03a76-7efe-4d10-9e5d-fe26561b97cf}" ma:internalName="TaxCatchAll" ma:showField="CatchAllData" ma:web="51def2a5-4310-4eb1-8e7f-d05231fbe7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3C93BF-01B0-466E-A306-5B8BE5A5F0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8E4520-06CC-4635-8D30-EB65F6359CAE}">
  <ds:schemaRefs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90c39dbe-e643-451f-b686-8821d465838f"/>
    <ds:schemaRef ds:uri="http://purl.org/dc/terms/"/>
    <ds:schemaRef ds:uri="75ec815d-4f26-4607-8475-2e9d903770b6"/>
    <ds:schemaRef ds:uri="51def2a5-4310-4eb1-8e7f-d05231fbe784"/>
  </ds:schemaRefs>
</ds:datastoreItem>
</file>

<file path=customXml/itemProps3.xml><?xml version="1.0" encoding="utf-8"?>
<ds:datastoreItem xmlns:ds="http://schemas.openxmlformats.org/officeDocument/2006/customXml" ds:itemID="{8579EA1F-78CD-4C87-87E2-FE39016AD4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ec815d-4f26-4607-8475-2e9d903770b6"/>
    <ds:schemaRef ds:uri="51def2a5-4310-4eb1-8e7f-d05231fbe7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Overview</vt:lpstr>
      <vt:lpstr>LCC indata</vt:lpstr>
      <vt:lpstr>LCA indata_EF</vt:lpstr>
      <vt:lpstr>LCA calculation</vt:lpstr>
      <vt:lpstr>LCC calculation</vt:lpstr>
      <vt:lpstr>Train disturbance parameters</vt:lpstr>
      <vt:lpstr>Method info.</vt:lpstr>
      <vt:lpstr>CO2_Valuation</vt:lpstr>
      <vt:lpstr>Energy use emission 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Kristofer Odolinski</dc:creator>
  <cp:keywords/>
  <dc:description/>
  <cp:lastModifiedBy>Emma From</cp:lastModifiedBy>
  <cp:revision/>
  <dcterms:created xsi:type="dcterms:W3CDTF">2021-10-16T07:57:43Z</dcterms:created>
  <dcterms:modified xsi:type="dcterms:W3CDTF">2025-05-12T06:29:38Z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0x010100E0BBAAF5B6E7334E92AD404531F7A6F7</vt:lpwstr>
  </property>
  <property fmtid="{D5CDD505-2E9C-101B-9397-08002B2CF9AE}" pid="3" name="MediaServiceImageTags">
    <vt:lpwstr/>
  </property>
</Properties>
</file>