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Shalooh\pk\azim\blockchain PK\pool-888\"/>
    </mc:Choice>
  </mc:AlternateContent>
  <xr:revisionPtr revIDLastSave="0" documentId="13_ncr:1_{70E57712-340F-43D9-886D-5E8E4D62BF98}" xr6:coauthVersionLast="47" xr6:coauthVersionMax="47" xr10:uidLastSave="{00000000-0000-0000-0000-000000000000}"/>
  <bookViews>
    <workbookView xWindow="-120" yWindow="-120" windowWidth="29040" windowHeight="15720" xr2:uid="{FE7AA7B0-E77F-4919-B00E-DF833DA8FA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N19" i="1"/>
  <c r="N18" i="1"/>
  <c r="N17" i="1"/>
  <c r="N16" i="1"/>
  <c r="N15" i="1"/>
  <c r="M19" i="1"/>
  <c r="M18" i="1"/>
  <c r="M17" i="1"/>
  <c r="M16" i="1"/>
  <c r="M15" i="1"/>
  <c r="L19" i="1"/>
  <c r="L18" i="1"/>
  <c r="L17" i="1"/>
  <c r="L16" i="1"/>
  <c r="L15" i="1"/>
  <c r="I21" i="1"/>
  <c r="H11" i="1"/>
  <c r="K17" i="1"/>
  <c r="J19" i="1"/>
  <c r="J18" i="1"/>
  <c r="J17" i="1"/>
  <c r="J16" i="1"/>
  <c r="K16" i="1" s="1"/>
  <c r="J15" i="1"/>
  <c r="K15" i="1" s="1"/>
  <c r="G22" i="1"/>
  <c r="K11" i="1"/>
  <c r="J3" i="1"/>
  <c r="I9" i="1"/>
  <c r="F74" i="1"/>
  <c r="G74" i="1" s="1"/>
  <c r="G75" i="1" s="1"/>
  <c r="K73" i="1"/>
  <c r="L73" i="1" s="1"/>
  <c r="J73" i="1"/>
  <c r="H73" i="1"/>
  <c r="J32" i="1"/>
  <c r="G53" i="1"/>
  <c r="I53" i="1" s="1"/>
  <c r="J53" i="1" s="1"/>
  <c r="K53" i="1" s="1"/>
  <c r="L53" i="1" s="1"/>
  <c r="M53" i="1" s="1"/>
  <c r="E53" i="1"/>
  <c r="K37" i="1"/>
  <c r="L37" i="1" s="1"/>
  <c r="N37" i="1" s="1"/>
  <c r="O37" i="1" s="1"/>
  <c r="J37" i="1"/>
  <c r="H70" i="1"/>
  <c r="K60" i="1"/>
  <c r="L60" i="1"/>
  <c r="K22" i="1"/>
  <c r="F35" i="1"/>
  <c r="G35" i="1" s="1"/>
  <c r="G36" i="1" s="1"/>
  <c r="G37" i="1" s="1"/>
  <c r="H37" i="1" s="1"/>
  <c r="I37" i="1"/>
  <c r="G34" i="1"/>
  <c r="G33" i="1"/>
  <c r="E31" i="1"/>
  <c r="D31" i="1"/>
  <c r="C5" i="1"/>
  <c r="C6" i="1" s="1"/>
  <c r="C9" i="1" s="1"/>
  <c r="C11" i="1" s="1"/>
  <c r="C13" i="1" s="1"/>
  <c r="K18" i="1" l="1"/>
  <c r="K19" i="1"/>
  <c r="G56" i="1"/>
  <c r="I38" i="1"/>
  <c r="H57" i="1" l="1"/>
  <c r="F61" i="1" s="1"/>
  <c r="F62" i="1" s="1"/>
  <c r="H56" i="1"/>
  <c r="F60" i="1" s="1"/>
  <c r="G60" i="1" s="1"/>
  <c r="G25" i="1"/>
  <c r="G27" i="1" s="1"/>
  <c r="G29" i="1" s="1"/>
  <c r="H2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C10" authorId="0" shapeId="0" xr:uid="{A049743F-4594-432B-B262-BE919435CDB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in my case I have added liquidity on testnet so the receiving value from uniswap is 45454</t>
        </r>
      </text>
    </comment>
  </commentList>
</comments>
</file>

<file path=xl/sharedStrings.xml><?xml version="1.0" encoding="utf-8"?>
<sst xmlns="http://schemas.openxmlformats.org/spreadsheetml/2006/main" count="50" uniqueCount="50">
  <si>
    <t>888 Approved Supply</t>
  </si>
  <si>
    <t>888 available for emission</t>
  </si>
  <si>
    <t>one day emission</t>
  </si>
  <si>
    <t>Total Weight (3 + 2 + 1 + 1) + liquidity pool weight = 2</t>
  </si>
  <si>
    <t>For 888 contract</t>
  </si>
  <si>
    <t>Deposit fee 5%</t>
  </si>
  <si>
    <t xml:space="preserve">Withdrawal fee </t>
  </si>
  <si>
    <t>Harvest lockup 8 hours</t>
  </si>
  <si>
    <t>APR - Forumula Based below</t>
  </si>
  <si>
    <t>Max Supply 888 token</t>
  </si>
  <si>
    <t>Available for emission in pool 710 token</t>
  </si>
  <si>
    <t>One Day</t>
  </si>
  <si>
    <t>Staking Pool Weights</t>
  </si>
  <si>
    <t>USDC: 3 USDT: 2 WMATIC: 1 WETH: 1</t>
  </si>
  <si>
    <t xml:space="preserve">Liquidity Pool Weight </t>
  </si>
  <si>
    <t>888 / USDC</t>
  </si>
  <si>
    <t>Weight = 2</t>
  </si>
  <si>
    <t>Starting Value of 1 888 token = $47,000</t>
  </si>
  <si>
    <t xml:space="preserve">It will comes from exchange </t>
  </si>
  <si>
    <t>FORMULA</t>
  </si>
  <si>
    <t>Weight / Total Weight * Total Emission = Pool Emission</t>
  </si>
  <si>
    <t xml:space="preserve"> - USDT = 2 
 - Total Weight = 9 </t>
  </si>
  <si>
    <t>Based on USDC pool</t>
  </si>
  <si>
    <t>Token Value x Pool Emission = Pool Emission Daily $ Value</t>
  </si>
  <si>
    <t>For APR where TLV is $1,000,000</t>
  </si>
  <si>
    <t>Total Lock value</t>
  </si>
  <si>
    <t>Client Calculation</t>
  </si>
  <si>
    <t>USDC Weight</t>
  </si>
  <si>
    <t>pool Emission = Weight / Total Weight * Total Emission</t>
  </si>
  <si>
    <t>888 value in USD</t>
  </si>
  <si>
    <t>poolEmissionDailyValue</t>
  </si>
  <si>
    <t>All calculation has been done in wei because solidity doesn’t support decimals</t>
  </si>
  <si>
    <t xml:space="preserve">Note: </t>
  </si>
  <si>
    <t>For APR where TLV (Total Locked Value is $1,000, 000)</t>
  </si>
  <si>
    <t>But My Question is.. Here we suppose TLV $1,000,000 so we get APR</t>
  </si>
  <si>
    <t>But at the beginning we don’t have any value staked in our contract.. So the Total Locked value will be zero</t>
  </si>
  <si>
    <t>poolEmissionDailyValue * 365 * 100 / TLV</t>
  </si>
  <si>
    <t xml:space="preserve">So APR = poolEmissionDailyValue * 365 * 100 / 0, which is wrong and we will receive error </t>
  </si>
  <si>
    <t>per second</t>
  </si>
  <si>
    <t xml:space="preserve">sec in a year </t>
  </si>
  <si>
    <t>old</t>
  </si>
  <si>
    <t xml:space="preserve">new </t>
  </si>
  <si>
    <t xml:space="preserve">six year pool wise </t>
  </si>
  <si>
    <t xml:space="preserve">USDC </t>
  </si>
  <si>
    <t xml:space="preserve">USDT </t>
  </si>
  <si>
    <t>LP 888 /usdc</t>
  </si>
  <si>
    <t>WMATIC</t>
  </si>
  <si>
    <t>WETH</t>
  </si>
  <si>
    <t xml:space="preserve">pool wise per day </t>
  </si>
  <si>
    <t>pool wise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</si>
</sst>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00"/>
    <numFmt numFmtId="165" formatCode="0.000000000000000000"/>
    <numFmt numFmtId="166" formatCode="0.0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rgb="FF959BAD"/>
      <name val="Segoe U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3" xfId="0" applyFont="1" applyBorder="1"/>
    <xf numFmtId="9" fontId="0" fillId="0" borderId="4" xfId="0" applyNumberFormat="1" applyBorder="1"/>
    <xf numFmtId="0" fontId="1" fillId="0" borderId="4" xfId="0" applyFont="1" applyBorder="1"/>
    <xf numFmtId="1" fontId="0" fillId="0" borderId="4" xfId="0" applyNumberFormat="1" applyBorder="1"/>
    <xf numFmtId="0" fontId="0" fillId="0" borderId="4" xfId="0" quotePrefix="1" applyBorder="1" applyAlignment="1">
      <alignment wrapText="1"/>
    </xf>
    <xf numFmtId="0" fontId="0" fillId="0" borderId="5" xfId="0" applyBorder="1"/>
    <xf numFmtId="0" fontId="0" fillId="0" borderId="6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5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9B229-19AF-40FF-9756-C3A6363CC7D3}">
  <dimension ref="B1:O75"/>
  <sheetViews>
    <sheetView tabSelected="1" topLeftCell="D3" workbookViewId="0">
      <selection activeCell="K22" sqref="K22"/>
    </sheetView>
  </sheetViews>
  <sheetFormatPr defaultRowHeight="15" x14ac:dyDescent="0.25"/>
  <cols>
    <col min="2" max="2" width="109.140625" bestFit="1" customWidth="1"/>
    <col min="3" max="3" width="30.42578125" customWidth="1"/>
    <col min="6" max="6" width="16.28515625" customWidth="1"/>
    <col min="7" max="7" width="53.5703125" bestFit="1" customWidth="1"/>
    <col min="8" max="8" width="47.42578125" customWidth="1"/>
    <col min="10" max="10" width="55.7109375" customWidth="1"/>
    <col min="11" max="11" width="38.5703125" customWidth="1"/>
    <col min="12" max="12" width="18" customWidth="1"/>
    <col min="13" max="13" width="18.7109375" customWidth="1"/>
    <col min="14" max="14" width="23.85546875" customWidth="1"/>
  </cols>
  <sheetData>
    <row r="1" spans="2:15" ht="18.75" x14ac:dyDescent="0.3">
      <c r="G1" s="3" t="s">
        <v>26</v>
      </c>
      <c r="H1" s="4"/>
    </row>
    <row r="2" spans="2:15" x14ac:dyDescent="0.25">
      <c r="B2" s="2" t="s">
        <v>31</v>
      </c>
      <c r="G2" s="5"/>
      <c r="H2" s="6"/>
    </row>
    <row r="3" spans="2:15" x14ac:dyDescent="0.25">
      <c r="G3" s="7" t="s">
        <v>4</v>
      </c>
      <c r="H3" s="6"/>
      <c r="J3">
        <f>365*6</f>
        <v>2190</v>
      </c>
    </row>
    <row r="4" spans="2:15" x14ac:dyDescent="0.25">
      <c r="B4" t="s">
        <v>0</v>
      </c>
      <c r="C4">
        <v>88800000000</v>
      </c>
      <c r="G4" s="5" t="s">
        <v>5</v>
      </c>
      <c r="H4" s="8">
        <v>0.05</v>
      </c>
    </row>
    <row r="5" spans="2:15" x14ac:dyDescent="0.25">
      <c r="B5" t="s">
        <v>1</v>
      </c>
      <c r="C5" s="1">
        <f>+C4 - ((C4 * 20 )/ 100)</f>
        <v>71040000000</v>
      </c>
      <c r="G5" s="5" t="s">
        <v>6</v>
      </c>
      <c r="H5" s="8">
        <v>0.02</v>
      </c>
    </row>
    <row r="6" spans="2:15" x14ac:dyDescent="0.25">
      <c r="B6" t="s">
        <v>2</v>
      </c>
      <c r="C6">
        <f>+C5/365</f>
        <v>194630136.98630136</v>
      </c>
      <c r="G6" s="5" t="s">
        <v>7</v>
      </c>
      <c r="H6" s="6"/>
    </row>
    <row r="7" spans="2:15" x14ac:dyDescent="0.25">
      <c r="B7" t="s">
        <v>3</v>
      </c>
      <c r="C7">
        <v>9</v>
      </c>
      <c r="G7" s="5" t="s">
        <v>8</v>
      </c>
      <c r="H7" s="6"/>
    </row>
    <row r="8" spans="2:15" x14ac:dyDescent="0.25">
      <c r="B8" t="s">
        <v>27</v>
      </c>
      <c r="C8">
        <v>3</v>
      </c>
      <c r="G8" s="5"/>
      <c r="H8" s="6"/>
    </row>
    <row r="9" spans="2:15" x14ac:dyDescent="0.25">
      <c r="B9" t="s">
        <v>28</v>
      </c>
      <c r="C9" s="1">
        <f>+C8/C7*C6</f>
        <v>64876712.328767121</v>
      </c>
      <c r="G9" s="5" t="s">
        <v>9</v>
      </c>
      <c r="H9" s="9">
        <v>88888</v>
      </c>
      <c r="I9" s="1">
        <f>+H9 * 0.2</f>
        <v>17777.600000000002</v>
      </c>
    </row>
    <row r="10" spans="2:15" x14ac:dyDescent="0.25">
      <c r="B10" t="s">
        <v>29</v>
      </c>
      <c r="C10">
        <v>45454</v>
      </c>
      <c r="G10" s="5" t="s">
        <v>10</v>
      </c>
      <c r="H10" s="10">
        <v>65000</v>
      </c>
      <c r="L10" t="s">
        <v>38</v>
      </c>
    </row>
    <row r="11" spans="2:15" x14ac:dyDescent="0.25">
      <c r="B11" t="s">
        <v>30</v>
      </c>
      <c r="C11" s="1">
        <f>+C10*C9/10^8</f>
        <v>29489.060821917807</v>
      </c>
      <c r="G11" s="5" t="s">
        <v>11</v>
      </c>
      <c r="H11" s="6">
        <f>H10/J3</f>
        <v>29.680365296803654</v>
      </c>
      <c r="J11" s="16">
        <f>+H11/(24*60*60)</f>
        <v>3.4352274649078306E-4</v>
      </c>
      <c r="K11">
        <f>+J11*100000000</f>
        <v>34352.274649078303</v>
      </c>
      <c r="L11">
        <v>2252</v>
      </c>
      <c r="M11" t="s">
        <v>40</v>
      </c>
    </row>
    <row r="12" spans="2:15" x14ac:dyDescent="0.25">
      <c r="B12" t="s">
        <v>33</v>
      </c>
      <c r="C12">
        <v>1000000</v>
      </c>
      <c r="G12" s="5"/>
      <c r="H12" s="6"/>
      <c r="L12">
        <v>34352</v>
      </c>
      <c r="M12" t="s">
        <v>41</v>
      </c>
    </row>
    <row r="13" spans="2:15" x14ac:dyDescent="0.25">
      <c r="B13" t="s">
        <v>36</v>
      </c>
      <c r="C13" s="1">
        <f>+C11*365*100 / C12</f>
        <v>1076.3507199999999</v>
      </c>
      <c r="G13" s="7" t="s">
        <v>12</v>
      </c>
      <c r="H13" s="6"/>
    </row>
    <row r="14" spans="2:15" x14ac:dyDescent="0.25">
      <c r="G14" s="5" t="s">
        <v>13</v>
      </c>
      <c r="H14" s="6"/>
      <c r="J14" t="s">
        <v>42</v>
      </c>
      <c r="L14" t="s">
        <v>48</v>
      </c>
      <c r="N14" t="s">
        <v>49</v>
      </c>
    </row>
    <row r="15" spans="2:15" x14ac:dyDescent="0.25">
      <c r="G15" s="5"/>
      <c r="H15" s="6"/>
      <c r="I15" t="s">
        <v>43</v>
      </c>
      <c r="J15">
        <f>3/9*H10</f>
        <v>21666.666666666664</v>
      </c>
      <c r="K15">
        <f>+J15*100000000</f>
        <v>2166666666666.6665</v>
      </c>
      <c r="L15">
        <f>3/9*H11</f>
        <v>9.8934550989345507</v>
      </c>
      <c r="M15">
        <f>+L15*100000000</f>
        <v>989345509.89345503</v>
      </c>
      <c r="N15">
        <f>+M15/86400</f>
        <v>11450.758216359432</v>
      </c>
      <c r="O15">
        <v>11450</v>
      </c>
    </row>
    <row r="16" spans="2:15" x14ac:dyDescent="0.25">
      <c r="B16" t="s">
        <v>32</v>
      </c>
      <c r="G16" s="7" t="s">
        <v>14</v>
      </c>
      <c r="H16" s="6"/>
      <c r="I16" t="s">
        <v>44</v>
      </c>
      <c r="J16">
        <f>2/9*H10</f>
        <v>14444.444444444443</v>
      </c>
      <c r="K16">
        <f>+J16*100000000</f>
        <v>1444444444444.4443</v>
      </c>
      <c r="L16">
        <f>2/9*H11</f>
        <v>6.5956367326230341</v>
      </c>
      <c r="M16">
        <f>+L16*100000000</f>
        <v>659563673.26230335</v>
      </c>
      <c r="N16">
        <f>+M16/86400</f>
        <v>7633.8388109062889</v>
      </c>
      <c r="O16">
        <v>7634</v>
      </c>
    </row>
    <row r="17" spans="2:15" x14ac:dyDescent="0.25">
      <c r="B17" t="s">
        <v>34</v>
      </c>
      <c r="G17" s="5" t="s">
        <v>15</v>
      </c>
      <c r="H17" s="6" t="s">
        <v>16</v>
      </c>
      <c r="I17" t="s">
        <v>45</v>
      </c>
      <c r="J17">
        <f>2/9*H10</f>
        <v>14444.444444444443</v>
      </c>
      <c r="K17">
        <f>+J17*100000000</f>
        <v>1444444444444.4443</v>
      </c>
      <c r="L17">
        <f>2/9*H11</f>
        <v>6.5956367326230341</v>
      </c>
      <c r="M17">
        <f>+L17*100000000</f>
        <v>659563673.26230335</v>
      </c>
      <c r="N17">
        <f>+M17/86400</f>
        <v>7633.8388109062889</v>
      </c>
      <c r="O17">
        <v>7634</v>
      </c>
    </row>
    <row r="18" spans="2:15" x14ac:dyDescent="0.25">
      <c r="B18" t="s">
        <v>35</v>
      </c>
      <c r="G18" s="5" t="s">
        <v>17</v>
      </c>
      <c r="H18" s="6" t="s">
        <v>18</v>
      </c>
      <c r="I18" t="s">
        <v>46</v>
      </c>
      <c r="J18">
        <f>1/9*H10</f>
        <v>7222.2222222222217</v>
      </c>
      <c r="K18">
        <f>+J18*100000000</f>
        <v>722222222222.22217</v>
      </c>
      <c r="L18">
        <f>1/9*H11</f>
        <v>3.297818366311517</v>
      </c>
      <c r="M18">
        <f>+L18*100000000</f>
        <v>329781836.63115168</v>
      </c>
      <c r="N18">
        <f>+M18/86400</f>
        <v>3816.9194054531445</v>
      </c>
      <c r="O18">
        <v>3817</v>
      </c>
    </row>
    <row r="19" spans="2:15" x14ac:dyDescent="0.25">
      <c r="B19" t="s">
        <v>37</v>
      </c>
      <c r="G19" s="5"/>
      <c r="H19" s="6"/>
      <c r="I19" t="s">
        <v>47</v>
      </c>
      <c r="J19">
        <f>1/9*H10</f>
        <v>7222.2222222222217</v>
      </c>
      <c r="K19">
        <f>+J19*100000000</f>
        <v>722222222222.22217</v>
      </c>
      <c r="L19">
        <f>1/9*H11</f>
        <v>3.297818366311517</v>
      </c>
      <c r="M19">
        <f>+L19*100000000</f>
        <v>329781836.63115168</v>
      </c>
      <c r="N19">
        <f>+M19/86400</f>
        <v>3816.9194054531445</v>
      </c>
      <c r="O19">
        <v>3817</v>
      </c>
    </row>
    <row r="20" spans="2:15" x14ac:dyDescent="0.25">
      <c r="G20" s="7" t="s">
        <v>19</v>
      </c>
      <c r="H20" s="6"/>
    </row>
    <row r="21" spans="2:15" x14ac:dyDescent="0.25">
      <c r="G21" s="5" t="s">
        <v>20</v>
      </c>
      <c r="H21" s="6"/>
      <c r="I21">
        <f>8*60*60</f>
        <v>28800</v>
      </c>
    </row>
    <row r="22" spans="2:15" ht="30" x14ac:dyDescent="0.25">
      <c r="G22" s="5">
        <f>2/9*H11</f>
        <v>6.5956367326230341</v>
      </c>
      <c r="H22" s="11" t="s">
        <v>21</v>
      </c>
      <c r="K22">
        <f>+J22*100000000</f>
        <v>0</v>
      </c>
    </row>
    <row r="23" spans="2:15" x14ac:dyDescent="0.25">
      <c r="G23" s="5"/>
      <c r="H23" s="6"/>
    </row>
    <row r="24" spans="2:15" x14ac:dyDescent="0.25">
      <c r="G24" s="7" t="s">
        <v>22</v>
      </c>
      <c r="H24" s="6"/>
      <c r="J24" s="17"/>
    </row>
    <row r="25" spans="2:15" x14ac:dyDescent="0.25">
      <c r="G25" s="5">
        <f>3/9 * H11</f>
        <v>9.8934550989345507</v>
      </c>
      <c r="H25" s="6"/>
    </row>
    <row r="26" spans="2:15" x14ac:dyDescent="0.25">
      <c r="G26" s="5" t="s">
        <v>23</v>
      </c>
      <c r="H26" s="6"/>
    </row>
    <row r="27" spans="2:15" x14ac:dyDescent="0.25">
      <c r="G27" s="5">
        <f>47000 * G25</f>
        <v>464992.38964992389</v>
      </c>
      <c r="H27" s="6"/>
    </row>
    <row r="28" spans="2:15" x14ac:dyDescent="0.25">
      <c r="G28" s="5" t="s">
        <v>24</v>
      </c>
      <c r="H28" s="6" t="s">
        <v>25</v>
      </c>
      <c r="J28">
        <v>23666666667</v>
      </c>
    </row>
    <row r="29" spans="2:15" x14ac:dyDescent="0.25">
      <c r="G29" s="5">
        <f>G27*365*100 / 1000000</f>
        <v>16972.222222222223</v>
      </c>
      <c r="H29" s="6">
        <f>G29/365/24</f>
        <v>1.9374682902080165</v>
      </c>
      <c r="J29">
        <v>15777777778</v>
      </c>
    </row>
    <row r="30" spans="2:15" ht="15.75" thickBot="1" x14ac:dyDescent="0.3">
      <c r="G30" s="12"/>
      <c r="H30" s="13"/>
      <c r="J30">
        <v>7893333333.3333302</v>
      </c>
    </row>
    <row r="31" spans="2:15" x14ac:dyDescent="0.25">
      <c r="C31">
        <v>0.02</v>
      </c>
      <c r="D31">
        <f>60*8</f>
        <v>480</v>
      </c>
      <c r="E31">
        <f>+D31*C31</f>
        <v>9.6</v>
      </c>
      <c r="J31">
        <v>7893333333.3333321</v>
      </c>
    </row>
    <row r="32" spans="2:15" x14ac:dyDescent="0.25">
      <c r="J32">
        <f>+SUM(J28:J31)</f>
        <v>55231111111.666656</v>
      </c>
    </row>
    <row r="33" spans="6:15" x14ac:dyDescent="0.25">
      <c r="G33">
        <f>0.432511416 * 47000</f>
        <v>20328.036551999998</v>
      </c>
    </row>
    <row r="34" spans="6:15" x14ac:dyDescent="0.25">
      <c r="G34">
        <f>+G33*365*100/12350</f>
        <v>60078.812481619425</v>
      </c>
    </row>
    <row r="35" spans="6:15" x14ac:dyDescent="0.25">
      <c r="F35">
        <f>10000*G34</f>
        <v>600788124.8161943</v>
      </c>
      <c r="G35" s="14">
        <f>F35/365</f>
        <v>1645994.8625101214</v>
      </c>
    </row>
    <row r="36" spans="6:15" x14ac:dyDescent="0.25">
      <c r="G36">
        <f>+G35/24</f>
        <v>68583.119271255055</v>
      </c>
    </row>
    <row r="37" spans="6:15" x14ac:dyDescent="0.25">
      <c r="G37">
        <f>+G36/(60*1000)</f>
        <v>1.1430519878542509</v>
      </c>
      <c r="H37" s="15">
        <f>+G37/47000</f>
        <v>2.4320255060728744E-5</v>
      </c>
      <c r="I37">
        <f>8*60</f>
        <v>480</v>
      </c>
      <c r="J37">
        <f>839539</f>
        <v>839539</v>
      </c>
      <c r="K37">
        <f>+J37</f>
        <v>839539</v>
      </c>
      <c r="L37">
        <f>+K37/475000000</f>
        <v>1.7674505263157894E-3</v>
      </c>
      <c r="M37">
        <v>475000000</v>
      </c>
      <c r="N37">
        <f>+M37*L37</f>
        <v>839539</v>
      </c>
      <c r="O37">
        <f>+N37/100000000</f>
        <v>8.3953900000000008E-3</v>
      </c>
    </row>
    <row r="38" spans="6:15" x14ac:dyDescent="0.25">
      <c r="I38">
        <f>+H37*I37</f>
        <v>1.1673722429149797E-2</v>
      </c>
    </row>
    <row r="46" spans="6:15" x14ac:dyDescent="0.25">
      <c r="G46">
        <v>0</v>
      </c>
      <c r="H46">
        <v>475000000</v>
      </c>
    </row>
    <row r="50" spans="5:13" x14ac:dyDescent="0.25">
      <c r="G50">
        <v>1665587403</v>
      </c>
    </row>
    <row r="51" spans="5:13" x14ac:dyDescent="0.25">
      <c r="G51">
        <v>1665585691</v>
      </c>
    </row>
    <row r="53" spans="5:13" x14ac:dyDescent="0.25">
      <c r="E53">
        <f>+F53*100000000</f>
        <v>839539.00000000012</v>
      </c>
      <c r="F53">
        <v>8.3953900000000008E-3</v>
      </c>
      <c r="G53">
        <f>+G50-G51</f>
        <v>1712</v>
      </c>
      <c r="H53">
        <v>2252</v>
      </c>
      <c r="I53">
        <f>+H53*G53</f>
        <v>3855424</v>
      </c>
      <c r="J53">
        <f>+I53*23666666667</f>
        <v>9.1245034667951808E+16</v>
      </c>
      <c r="K53">
        <f>+J53/55231111111</f>
        <v>1652058.6465221259</v>
      </c>
      <c r="L53">
        <f>+K53/475000000</f>
        <v>3.4780182032044756E-3</v>
      </c>
      <c r="M53">
        <f>+L53*1000000000000</f>
        <v>3478018203.2044754</v>
      </c>
    </row>
    <row r="56" spans="5:13" x14ac:dyDescent="0.25">
      <c r="G56">
        <f>+G53*H53*J28/J32</f>
        <v>1652058.6465021849</v>
      </c>
      <c r="H56">
        <f>+G56*1000000000000/475000000</f>
        <v>3478018203.1624947</v>
      </c>
    </row>
    <row r="57" spans="5:13" x14ac:dyDescent="0.25">
      <c r="H57">
        <f>+G56/475000000</f>
        <v>3.4780182031624945E-3</v>
      </c>
    </row>
    <row r="60" spans="5:13" x14ac:dyDescent="0.25">
      <c r="F60">
        <f>475000000*H56</f>
        <v>1.652058646502185E+18</v>
      </c>
      <c r="G60">
        <f>+F60/100000000000000000000</f>
        <v>1.6520586465021851E-2</v>
      </c>
      <c r="J60">
        <v>1.24482999675E+17</v>
      </c>
      <c r="K60">
        <f>+J60/1000000000000</f>
        <v>124482.999675</v>
      </c>
      <c r="L60">
        <f>+K60/100000000</f>
        <v>1.2448299967500001E-3</v>
      </c>
    </row>
    <row r="61" spans="5:13" x14ac:dyDescent="0.25">
      <c r="F61">
        <f>475000000*H57</f>
        <v>1652058.6465021849</v>
      </c>
    </row>
    <row r="62" spans="5:13" x14ac:dyDescent="0.25">
      <c r="F62">
        <f>+F61/100000000</f>
        <v>1.6520586465021848E-2</v>
      </c>
    </row>
    <row r="66" spans="6:12" x14ac:dyDescent="0.25">
      <c r="H66">
        <v>1665586561</v>
      </c>
    </row>
    <row r="67" spans="6:12" x14ac:dyDescent="0.25">
      <c r="H67">
        <v>1665585691</v>
      </c>
    </row>
    <row r="70" spans="6:12" x14ac:dyDescent="0.25">
      <c r="H70">
        <f>H66-H67</f>
        <v>870</v>
      </c>
    </row>
    <row r="72" spans="6:12" x14ac:dyDescent="0.25">
      <c r="J72" t="s">
        <v>39</v>
      </c>
    </row>
    <row r="73" spans="6:12" x14ac:dyDescent="0.25">
      <c r="G73">
        <v>2252</v>
      </c>
      <c r="H73">
        <f>+G73/100000000</f>
        <v>2.2520000000000001E-5</v>
      </c>
      <c r="J73">
        <f>365*24*60*60</f>
        <v>31536000</v>
      </c>
      <c r="K73">
        <f>+J73*G73</f>
        <v>71019072000</v>
      </c>
      <c r="L73">
        <f>+K73/100000000</f>
        <v>710.19072000000006</v>
      </c>
    </row>
    <row r="74" spans="6:12" x14ac:dyDescent="0.25">
      <c r="F74" s="18">
        <f>23666666667/55231111111</f>
        <v>0.42850245434020379</v>
      </c>
      <c r="G74">
        <f>+G73*F74</f>
        <v>964.9875271741389</v>
      </c>
    </row>
    <row r="75" spans="6:12" x14ac:dyDescent="0.25">
      <c r="G75">
        <f>+G74*1712</f>
        <v>1652058.6465221257</v>
      </c>
    </row>
  </sheetData>
  <pageMargins left="0.7" right="0.7" top="0.75" bottom="0.75" header="0.3" footer="0.3"/>
  <pageSetup paperSize="0" orientation="portrait" horizontalDpi="203" verticalDpi="20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2022-08-08T14:23:26Z</dcterms:created>
  <dcterms:modified xsi:type="dcterms:W3CDTF">2022-12-07T19:57:44Z</dcterms:modified>
</cp:coreProperties>
</file>