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610" yWindow="890" windowWidth="18320" windowHeight="6210" activeTab="2"/>
  </bookViews>
  <sheets>
    <sheet name="Data" sheetId="1" r:id="rId1"/>
    <sheet name="Service" sheetId="2" r:id="rId2"/>
    <sheet name="Dashboard_" sheetId="3" r:id="rId3"/>
    <sheet name="Metadata - Countries" sheetId="4" state="hidden" r:id="rId4"/>
    <sheet name="Metadata - Indicators" sheetId="5" state="hidden" r:id="rId5"/>
  </sheets>
  <definedNames>
    <definedName name="_xlnm._FilterDatabase" localSheetId="0" hidden="1">Data!$A$1:$AG$267</definedName>
  </definedNames>
  <calcPr calcId="145621"/>
</workbook>
</file>

<file path=xl/calcChain.xml><?xml version="1.0" encoding="utf-8"?>
<calcChain xmlns="http://schemas.openxmlformats.org/spreadsheetml/2006/main">
  <c r="B7" i="3" l="1"/>
  <c r="T24" i="1"/>
  <c r="AG26" i="2"/>
  <c r="AE26" i="2"/>
  <c r="AC26" i="2"/>
  <c r="AA26" i="2"/>
  <c r="Y26" i="2"/>
  <c r="W26" i="2"/>
  <c r="U26" i="2"/>
  <c r="S26" i="2"/>
  <c r="Q26" i="2"/>
  <c r="O26" i="2"/>
  <c r="M26" i="2"/>
  <c r="K26" i="2"/>
  <c r="I26" i="2"/>
  <c r="G26" i="2"/>
  <c r="E26" i="2"/>
  <c r="C26" i="2"/>
  <c r="A26" i="2"/>
  <c r="A20" i="2"/>
  <c r="A18" i="2"/>
  <c r="A16" i="2"/>
  <c r="A14" i="2"/>
  <c r="A12" i="2"/>
  <c r="A10" i="2"/>
  <c r="A8" i="2"/>
  <c r="A6" i="2"/>
  <c r="A4" i="2"/>
  <c r="A2" i="2"/>
  <c r="BP6" i="1"/>
  <c r="BN6" i="1"/>
  <c r="BL6" i="1"/>
  <c r="BJ6" i="1"/>
  <c r="BH6" i="1"/>
  <c r="BF6" i="1"/>
  <c r="BD6" i="1"/>
  <c r="BB6" i="1"/>
  <c r="AZ6" i="1"/>
  <c r="AX6" i="1"/>
  <c r="AV6" i="1"/>
  <c r="AT6" i="1"/>
  <c r="AR6" i="1"/>
  <c r="AP6" i="1"/>
  <c r="AN6" i="1"/>
  <c r="AL6" i="1"/>
  <c r="AJ6" i="1"/>
  <c r="BP5" i="1"/>
  <c r="BN5" i="1"/>
  <c r="BL5" i="1"/>
  <c r="BJ5" i="1"/>
  <c r="BH5" i="1"/>
  <c r="BF5" i="1"/>
  <c r="BD5" i="1"/>
  <c r="BB5" i="1"/>
  <c r="AZ5" i="1"/>
  <c r="AX5" i="1"/>
  <c r="AV5" i="1"/>
  <c r="AT5" i="1"/>
  <c r="AR5" i="1"/>
  <c r="AP5" i="1"/>
  <c r="AN5" i="1"/>
  <c r="AL5" i="1"/>
  <c r="AJ5" i="1"/>
  <c r="BP4" i="1"/>
  <c r="BN4" i="1"/>
  <c r="BL4" i="1"/>
  <c r="BJ4" i="1"/>
  <c r="BH4" i="1"/>
  <c r="BF4" i="1"/>
  <c r="BD4" i="1"/>
  <c r="BB4" i="1"/>
  <c r="AZ4" i="1"/>
  <c r="AX4" i="1"/>
  <c r="AV4" i="1"/>
  <c r="AT4" i="1"/>
  <c r="AR4" i="1"/>
  <c r="AP4" i="1"/>
  <c r="AN4" i="1"/>
  <c r="AL4" i="1"/>
  <c r="AJ4" i="1"/>
  <c r="BP3" i="1"/>
  <c r="BN3" i="1"/>
  <c r="BL3" i="1"/>
  <c r="BJ3" i="1"/>
  <c r="BH3" i="1"/>
  <c r="BF3" i="1"/>
  <c r="BD3" i="1"/>
  <c r="BB3" i="1"/>
  <c r="AZ3" i="1"/>
  <c r="AX3" i="1"/>
  <c r="AV3" i="1"/>
  <c r="AT3" i="1"/>
  <c r="AR3" i="1"/>
  <c r="AP3" i="1"/>
  <c r="AN3" i="1"/>
  <c r="AL3" i="1"/>
  <c r="AJ3" i="1"/>
  <c r="BP2" i="1"/>
  <c r="BN2" i="1"/>
  <c r="BL2" i="1"/>
  <c r="BJ2" i="1"/>
  <c r="BH2" i="1"/>
  <c r="BF2" i="1"/>
  <c r="BD2" i="1"/>
  <c r="BB2" i="1"/>
  <c r="AZ2" i="1"/>
  <c r="AX2" i="1"/>
  <c r="AV2" i="1"/>
  <c r="AT2" i="1"/>
  <c r="AR2" i="1"/>
  <c r="AP2" i="1"/>
  <c r="AN2" i="1"/>
  <c r="AL2" i="1"/>
  <c r="AJ2" i="1"/>
  <c r="BP1" i="1"/>
  <c r="BN1" i="1"/>
  <c r="BL1" i="1"/>
  <c r="BJ1" i="1"/>
  <c r="BH1" i="1"/>
  <c r="BF1" i="1"/>
  <c r="BD1" i="1"/>
  <c r="BB1" i="1"/>
  <c r="AZ1" i="1"/>
  <c r="AX1" i="1"/>
  <c r="AV1" i="1"/>
  <c r="AT1" i="1"/>
  <c r="AR1" i="1"/>
  <c r="AP1" i="1"/>
  <c r="AN1" i="1"/>
  <c r="AF26" i="2"/>
  <c r="AB26" i="2"/>
  <c r="X26" i="2"/>
  <c r="T26" i="2"/>
  <c r="P26" i="2"/>
  <c r="L26" i="2"/>
  <c r="H26" i="2"/>
  <c r="D26" i="2"/>
  <c r="A21" i="2"/>
  <c r="A17" i="2"/>
  <c r="A13" i="2"/>
  <c r="A9" i="2"/>
  <c r="A5" i="2"/>
  <c r="BM6" i="1"/>
  <c r="BI6" i="1"/>
  <c r="BE6" i="1"/>
  <c r="BA6" i="1"/>
  <c r="AW6" i="1"/>
  <c r="AS6" i="1"/>
  <c r="AO6" i="1"/>
  <c r="BO5" i="1"/>
  <c r="BK5" i="1"/>
  <c r="AY5" i="1"/>
  <c r="BM4" i="1"/>
  <c r="AS4" i="1"/>
  <c r="AY3" i="1"/>
  <c r="BE2" i="1"/>
  <c r="BO1" i="1"/>
  <c r="AM1" i="1"/>
  <c r="AD26" i="2"/>
  <c r="Z26" i="2"/>
  <c r="V26" i="2"/>
  <c r="R26" i="2"/>
  <c r="N26" i="2"/>
  <c r="J26" i="2"/>
  <c r="F26" i="2"/>
  <c r="B26" i="2"/>
  <c r="A19" i="2"/>
  <c r="A15" i="2"/>
  <c r="A11" i="2"/>
  <c r="A7" i="2"/>
  <c r="A3" i="2"/>
  <c r="BO6" i="1"/>
  <c r="BK6" i="1"/>
  <c r="BG6" i="1"/>
  <c r="BC6" i="1"/>
  <c r="AY6" i="1"/>
  <c r="AU6" i="1"/>
  <c r="AQ6" i="1"/>
  <c r="AM6" i="1"/>
  <c r="AI6" i="1"/>
  <c r="BM5" i="1"/>
  <c r="BI5" i="1"/>
  <c r="BE5" i="1"/>
  <c r="BA5" i="1"/>
  <c r="AW5" i="1"/>
  <c r="AS5" i="1"/>
  <c r="AO5" i="1"/>
  <c r="AK5" i="1"/>
  <c r="BO4" i="1"/>
  <c r="BK4" i="1"/>
  <c r="BG4" i="1"/>
  <c r="BC4" i="1"/>
  <c r="AY4" i="1"/>
  <c r="AU4" i="1"/>
  <c r="AQ4" i="1"/>
  <c r="AM4" i="1"/>
  <c r="AI4" i="1"/>
  <c r="BM3" i="1"/>
  <c r="BI3" i="1"/>
  <c r="BE3" i="1"/>
  <c r="BA3" i="1"/>
  <c r="AW3" i="1"/>
  <c r="AS3" i="1"/>
  <c r="AO3" i="1"/>
  <c r="AK3" i="1"/>
  <c r="BO2" i="1"/>
  <c r="BK2" i="1"/>
  <c r="BG2" i="1"/>
  <c r="BC2" i="1"/>
  <c r="AY2" i="1"/>
  <c r="AU2" i="1"/>
  <c r="AQ2" i="1"/>
  <c r="AM2" i="1"/>
  <c r="AI2" i="1"/>
  <c r="BM1" i="1"/>
  <c r="BI1" i="1"/>
  <c r="BE1" i="1"/>
  <c r="BA1" i="1"/>
  <c r="AW1" i="1"/>
  <c r="AS1" i="1"/>
  <c r="AO1" i="1"/>
  <c r="AL1" i="1"/>
  <c r="AJ1" i="1"/>
  <c r="AK6" i="1"/>
  <c r="BG5" i="1"/>
  <c r="BC5" i="1"/>
  <c r="AU5" i="1"/>
  <c r="AQ5" i="1"/>
  <c r="AM5" i="1"/>
  <c r="AI5" i="1"/>
  <c r="BI4" i="1"/>
  <c r="BE4" i="1"/>
  <c r="BA4" i="1"/>
  <c r="AW4" i="1"/>
  <c r="AO4" i="1"/>
  <c r="AK4" i="1"/>
  <c r="BO3" i="1"/>
  <c r="BK3" i="1"/>
  <c r="BG3" i="1"/>
  <c r="BC3" i="1"/>
  <c r="AU3" i="1"/>
  <c r="AQ3" i="1"/>
  <c r="AM3" i="1"/>
  <c r="AI3" i="1"/>
  <c r="BM2" i="1"/>
  <c r="BI2" i="1"/>
  <c r="BA2" i="1"/>
  <c r="AW2" i="1"/>
  <c r="AS2" i="1"/>
  <c r="AO2" i="1"/>
  <c r="AK2" i="1"/>
  <c r="BK1" i="1"/>
  <c r="BG1" i="1"/>
  <c r="BC1" i="1"/>
  <c r="AY1" i="1"/>
  <c r="AU1" i="1"/>
  <c r="AQ1" i="1"/>
  <c r="AK1" i="1"/>
  <c r="AI1" i="1"/>
</calcChain>
</file>

<file path=xl/sharedStrings.xml><?xml version="1.0" encoding="utf-8"?>
<sst xmlns="http://schemas.openxmlformats.org/spreadsheetml/2006/main" count="1109" uniqueCount="634">
  <si>
    <t>Country Name</t>
  </si>
  <si>
    <t>difference</t>
  </si>
  <si>
    <t>Benin</t>
  </si>
  <si>
    <t>Belize</t>
  </si>
  <si>
    <t>Brazil</t>
  </si>
  <si>
    <t>Africa Eastern and Southern</t>
  </si>
  <si>
    <t>Angola</t>
  </si>
  <si>
    <t>Bolivia</t>
  </si>
  <si>
    <t>Botswana</t>
  </si>
  <si>
    <t>Brunei Darussalam</t>
  </si>
  <si>
    <t>Burkina Faso</t>
  </si>
  <si>
    <t>American Samoa</t>
  </si>
  <si>
    <t>Antigua and Barbuda</t>
  </si>
  <si>
    <t>Africa Western and Central</t>
  </si>
  <si>
    <t>Argentina</t>
  </si>
  <si>
    <t>Central African Republic</t>
  </si>
  <si>
    <t>Belgium</t>
  </si>
  <si>
    <t>Bosnia and Herzegovina</t>
  </si>
  <si>
    <t>Bangladesh</t>
  </si>
  <si>
    <t>Armenia</t>
  </si>
  <si>
    <t>Canada</t>
  </si>
  <si>
    <t>Australia</t>
  </si>
  <si>
    <t>country</t>
  </si>
  <si>
    <t>Country Code</t>
  </si>
  <si>
    <t>Indicator Name</t>
  </si>
  <si>
    <t>Indicator Code</t>
  </si>
  <si>
    <t>World Bank</t>
  </si>
  <si>
    <t>Section 1</t>
  </si>
  <si>
    <t>utilise la page Service</t>
  </si>
  <si>
    <t>current state</t>
  </si>
  <si>
    <t>(toutes les valeurs en 2020 ; tout le tableau ; pays en B5)</t>
  </si>
  <si>
    <t>Region</t>
  </si>
  <si>
    <t>IncomeGroup</t>
  </si>
  <si>
    <t>SpecialNotes</t>
  </si>
  <si>
    <t>TableName</t>
  </si>
  <si>
    <t>ABW</t>
  </si>
  <si>
    <t>Latin America &amp; Caribbean</t>
  </si>
  <si>
    <t>High income</t>
  </si>
  <si>
    <t>Aruba</t>
  </si>
  <si>
    <t>AFE</t>
  </si>
  <si>
    <t>26 countries, stretching from the Red Sea in the North to the Cape of Good Hope in the South (https://www.worldbank.org/en/region/afr/eastern-and-southern-africa)</t>
  </si>
  <si>
    <t>AFG</t>
  </si>
  <si>
    <t>South Asia</t>
  </si>
  <si>
    <t>Low income</t>
  </si>
  <si>
    <t>Fiscal year end: March 20; reporting period for national accounts data: FY.</t>
  </si>
  <si>
    <t>Afghanistan</t>
  </si>
  <si>
    <t>AFW</t>
  </si>
  <si>
    <t>22 countries, stretching from the westernmost point of Africa, across the equator, and partly along the Atlantic Ocean till the Republic of Congo in the South (https://www.worldbank.org/en/region/afr/western-and-central-africa)</t>
  </si>
  <si>
    <t>AGO</t>
  </si>
  <si>
    <t>Sub-Saharan Africa</t>
  </si>
  <si>
    <t>Lower middle income</t>
  </si>
  <si>
    <t>ALB</t>
  </si>
  <si>
    <t>Europe &amp; Central Asia</t>
  </si>
  <si>
    <t>Upper middle income</t>
  </si>
  <si>
    <t>Albania</t>
  </si>
  <si>
    <t>AND</t>
  </si>
  <si>
    <t>Andorra</t>
  </si>
  <si>
    <t>ARB</t>
  </si>
  <si>
    <t>Arab World aggregate. Arab World is composed of members of the League of Arab States.</t>
  </si>
  <si>
    <t>Arab World</t>
  </si>
  <si>
    <t>ARE</t>
  </si>
  <si>
    <t>Middle East &amp; North Africa</t>
  </si>
  <si>
    <t>United Arab Emirates</t>
  </si>
  <si>
    <t>ARG</t>
  </si>
  <si>
    <t>ARM</t>
  </si>
  <si>
    <t>ASM</t>
  </si>
  <si>
    <t>East Asia &amp; Pacific</t>
  </si>
  <si>
    <t>ATG</t>
  </si>
  <si>
    <t>AUS</t>
  </si>
  <si>
    <t>Fiscal year end: June 30; reporting period for national accounts data: FY.</t>
  </si>
  <si>
    <t>AUT</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</si>
  <si>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</si>
  <si>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Austria</t>
  </si>
  <si>
    <t>AZE</t>
  </si>
  <si>
    <t>Azerbaijan</t>
  </si>
  <si>
    <t>BDI</t>
  </si>
  <si>
    <t>Burundi</t>
  </si>
  <si>
    <t>BEL</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</si>
  <si>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</si>
  <si>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BEN</t>
  </si>
  <si>
    <t>BFA</t>
  </si>
  <si>
    <t>BGD</t>
  </si>
  <si>
    <t>BGR</t>
  </si>
  <si>
    <t>Bulgaria</t>
  </si>
  <si>
    <t>BHR</t>
  </si>
  <si>
    <t>Bahrain</t>
  </si>
  <si>
    <t>BHS</t>
  </si>
  <si>
    <t>Bahamas, The</t>
  </si>
  <si>
    <t>BIH</t>
  </si>
  <si>
    <t>BLR</t>
  </si>
  <si>
    <t>Data before 2015 were adjusted to reflect the new denomination effective from July 1, 2016 (BYN), a decrease of 10,000 times (1 BYN = 10,000 BYR)</t>
  </si>
  <si>
    <t>Belarus</t>
  </si>
  <si>
    <t>BLZ</t>
  </si>
  <si>
    <t>BMU</t>
  </si>
  <si>
    <t>North America</t>
  </si>
  <si>
    <t>Bermuda</t>
  </si>
  <si>
    <t>BOL</t>
  </si>
  <si>
    <t>BRA</t>
  </si>
  <si>
    <t>BRB</t>
  </si>
  <si>
    <t>Barbados</t>
  </si>
  <si>
    <t>BRN</t>
  </si>
  <si>
    <t>BTN</t>
  </si>
  <si>
    <t>Bhutan</t>
  </si>
  <si>
    <t>BWA</t>
  </si>
  <si>
    <t>CAF</t>
  </si>
  <si>
    <t>CAN</t>
  </si>
  <si>
    <t>Fiscal year end: March 31; reporting period for national accounts data: CY.</t>
  </si>
  <si>
    <t>CEB</t>
  </si>
  <si>
    <t>Central Europe and the Baltics aggregate.</t>
  </si>
  <si>
    <t>Central Europe and the Baltics</t>
  </si>
  <si>
    <t>CHE</t>
  </si>
  <si>
    <t>Switzerland</t>
  </si>
  <si>
    <t>CHI</t>
  </si>
  <si>
    <t>Channel Islands</t>
  </si>
  <si>
    <t>CHL</t>
  </si>
  <si>
    <t>Chile</t>
  </si>
  <si>
    <t>CHN</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</si>
  <si>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</si>
  <si>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China</t>
  </si>
  <si>
    <t>CIV</t>
  </si>
  <si>
    <t>Côte d'Ivoire</t>
  </si>
  <si>
    <t>CMR</t>
  </si>
  <si>
    <t>Cameroon</t>
  </si>
  <si>
    <t>COD</t>
  </si>
  <si>
    <t>Congo, Dem. Rep.</t>
  </si>
  <si>
    <t>COG</t>
  </si>
  <si>
    <t>Congo, Rep.</t>
  </si>
  <si>
    <t>COL</t>
  </si>
  <si>
    <t>Colombia</t>
  </si>
  <si>
    <t>COM</t>
  </si>
  <si>
    <t>Comoros</t>
  </si>
  <si>
    <t>CPV</t>
  </si>
  <si>
    <t>Cabo Verde</t>
  </si>
  <si>
    <t>CRI</t>
  </si>
  <si>
    <t>Costa Rica</t>
  </si>
  <si>
    <t>CSS</t>
  </si>
  <si>
    <t>Caribbean small states</t>
  </si>
  <si>
    <t>CUB</t>
  </si>
  <si>
    <t>Cuba</t>
  </si>
  <si>
    <t>CUW</t>
  </si>
  <si>
    <t>Curaçao</t>
  </si>
  <si>
    <t>CYM</t>
  </si>
  <si>
    <t>Cayman Islands</t>
  </si>
  <si>
    <t>CYP</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</si>
  <si>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</si>
  <si>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Cyprus</t>
  </si>
  <si>
    <t>CZE</t>
  </si>
  <si>
    <t>Czech Republic</t>
  </si>
  <si>
    <t>DEU</t>
  </si>
  <si>
    <t>Germany</t>
  </si>
  <si>
    <t>DJI</t>
  </si>
  <si>
    <t>Djibouti</t>
  </si>
  <si>
    <t>DMA</t>
  </si>
  <si>
    <t>Dominica</t>
  </si>
  <si>
    <t>DNK</t>
  </si>
  <si>
    <t>Denmark</t>
  </si>
  <si>
    <t>DOM</t>
  </si>
  <si>
    <t>Dominican Republic</t>
  </si>
  <si>
    <t>DZA</t>
  </si>
  <si>
    <t>Algeria</t>
  </si>
  <si>
    <t>EAP</t>
  </si>
  <si>
    <t>East Asia &amp; Pacific (excluding high income)</t>
  </si>
  <si>
    <t>EAR</t>
  </si>
  <si>
    <t>Early-dividend countries are mostly lower-middle-income countries further along the fertility transition. Fertility rates have fallen below four births per woman and the working-age share of the population is likely rising considerably.</t>
  </si>
  <si>
    <t>Early-demographic dividend</t>
  </si>
  <si>
    <t>EAS</t>
  </si>
  <si>
    <t>East Asia and Pacific regional aggregate (includes all income levels).</t>
  </si>
  <si>
    <t>ECA</t>
  </si>
  <si>
    <t>Europe &amp; Central Asia (excluding high income)</t>
  </si>
  <si>
    <t>ECS</t>
  </si>
  <si>
    <t>Europe and Central Asia regional aggregate (includes all income levels).</t>
  </si>
  <si>
    <t>ECU</t>
  </si>
  <si>
    <t>Ecuador</t>
  </si>
  <si>
    <t>EGY</t>
  </si>
  <si>
    <t>Fiscal year end: June 30; reporting period for national accounts data: FY for years 1980 and after. The data from 1973 to 1979 are calendar year data.</t>
  </si>
  <si>
    <t>Egypt, Arab Rep.</t>
  </si>
  <si>
    <t>EMU</t>
  </si>
  <si>
    <t>Euro area aggregate.</t>
  </si>
  <si>
    <t>Euro area</t>
  </si>
  <si>
    <t>ERI</t>
  </si>
  <si>
    <t>Eritrea</t>
  </si>
  <si>
    <t>ESP</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</si>
  <si>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</si>
  <si>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Spain</t>
  </si>
  <si>
    <t>EST</t>
  </si>
  <si>
    <t>The following irrevocable euro conversion rate entered into force on January 1, 2011: 1 euro = 15.6466 Estonian kroon. Please note that historical data are not actual euros and are not comparable or suitable for aggregation across countries.</t>
  </si>
  <si>
    <t>Estonia</t>
  </si>
  <si>
    <t>ETH</t>
  </si>
  <si>
    <t>Fiscal year end: July 7; reporting period for national accounts data: FY.</t>
  </si>
  <si>
    <t>Ethiopia</t>
  </si>
  <si>
    <t>EUU</t>
  </si>
  <si>
    <t>European Union aggregate.</t>
  </si>
  <si>
    <t>European Union</t>
  </si>
  <si>
    <t>FCS</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</si>
  <si>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</si>
  <si>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Fragile and conflict affected situations</t>
  </si>
  <si>
    <t>FIN</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</si>
  <si>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</si>
  <si>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Finland</t>
  </si>
  <si>
    <t>FJI</t>
  </si>
  <si>
    <t>Fiji</t>
  </si>
  <si>
    <t>FRA</t>
  </si>
  <si>
    <t>The following irrevocable euro conversion rate was adopted by the EU Council on January 1, 1999: 1 euro = 6.55957 French franc. Please note that historical data before 1999 are not actual euros and are not comparable or suitable for aggregation across countries.</t>
  </si>
  <si>
    <t>France</t>
  </si>
  <si>
    <t>FRO</t>
  </si>
  <si>
    <t>Faroe Islands</t>
  </si>
  <si>
    <t>FSM</t>
  </si>
  <si>
    <t>Fiscal year ends on September 30; reporting period for national accounts data: FY. Based on the Pacific and Virgin Islands Training Initiative, national accounts data have been revised.</t>
  </si>
  <si>
    <t>Micronesia, Fed. Sts.</t>
  </si>
  <si>
    <t>GAB</t>
  </si>
  <si>
    <t>Gabon</t>
  </si>
  <si>
    <t>GBR</t>
  </si>
  <si>
    <t>United Kingdom</t>
  </si>
  <si>
    <t>GEO</t>
  </si>
  <si>
    <t>Includes self-governed areas only, which mostly exclude Abkhazia and South Ossetia, but small areas in Abkhazia and South Ossetia are included before 2008 or 2009 because of the changes in self-governed areas.</t>
  </si>
  <si>
    <t>Georgia</t>
  </si>
  <si>
    <t>GHA</t>
  </si>
  <si>
    <t>Ghana</t>
  </si>
  <si>
    <t>GIB</t>
  </si>
  <si>
    <t>Gibraltar</t>
  </si>
  <si>
    <t>GIN</t>
  </si>
  <si>
    <t>Guinea</t>
  </si>
  <si>
    <t>GMB</t>
  </si>
  <si>
    <t>Gambia, The</t>
  </si>
  <si>
    <t>GNB</t>
  </si>
  <si>
    <t>Guinea-Bissau</t>
  </si>
  <si>
    <t>GNQ</t>
  </si>
  <si>
    <t>Equatorial Guinea</t>
  </si>
  <si>
    <t>GRC</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</si>
  <si>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</si>
  <si>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Greece</t>
  </si>
  <si>
    <t>GRD</t>
  </si>
  <si>
    <t>Grenada</t>
  </si>
  <si>
    <t>GRL</t>
  </si>
  <si>
    <t>Greenland</t>
  </si>
  <si>
    <t>GTM</t>
  </si>
  <si>
    <t>Guatemala</t>
  </si>
  <si>
    <t>GUM</t>
  </si>
  <si>
    <t>Guam</t>
  </si>
  <si>
    <t>GUY</t>
  </si>
  <si>
    <t>Guyana</t>
  </si>
  <si>
    <t>HIC</t>
  </si>
  <si>
    <t>High income group aggregate. High-income economies are those in which 2020 GNI per capita was $12,696 or more.</t>
  </si>
  <si>
    <t>HKG</t>
  </si>
  <si>
    <t>On 1 July 1997 China resumed its exercise of sovereignty over Hong Kong. Unless otherwise noted, data for China do not include data for Hong Kong SAR, China; Macao SAR, China; or Taiwan, China. Agriculture value added includes mining and quarrying.</t>
  </si>
  <si>
    <t>Hong Kong SAR, China</t>
  </si>
  <si>
    <t>HND</t>
  </si>
  <si>
    <t>Honduras</t>
  </si>
  <si>
    <t>HPC</t>
  </si>
  <si>
    <t>Heavily indebted poor countries aggregate.</t>
  </si>
  <si>
    <t>Heavily indebted poor countries (HIPC)</t>
  </si>
  <si>
    <t>HRV</t>
  </si>
  <si>
    <t>Croatia</t>
  </si>
  <si>
    <t>HTI</t>
  </si>
  <si>
    <t>Fiscal year end: September 30; reporting period for national accounts data: FY.</t>
  </si>
  <si>
    <t>Haiti</t>
  </si>
  <si>
    <t>HUN</t>
  </si>
  <si>
    <t>Hungary</t>
  </si>
  <si>
    <t>IBD</t>
  </si>
  <si>
    <t>IBRD only group aggregate.</t>
  </si>
  <si>
    <t>IBRD only</t>
  </si>
  <si>
    <t>IBT</t>
  </si>
  <si>
    <t>IDA and IBRD total group aggregate (includes IDA only, IDA blend, and IBRD only).</t>
  </si>
  <si>
    <t>IDA &amp; IBRD total</t>
  </si>
  <si>
    <t>IDA</t>
  </si>
  <si>
    <t>IDA total group aggregate (includes IDA only and IDA blend).</t>
  </si>
  <si>
    <t>IDA total</t>
  </si>
  <si>
    <t>IDB</t>
  </si>
  <si>
    <t>IDA blend group aggregate.</t>
  </si>
  <si>
    <t>IDA blend</t>
  </si>
  <si>
    <t>IDN</t>
  </si>
  <si>
    <t>Fiscal year end: March 31; reporting period for national accounts data: CY. Data for Indonesia include Timor-Leste through 1999 unless otherwise noted.</t>
  </si>
  <si>
    <t>Indonesia</t>
  </si>
  <si>
    <t>IDX</t>
  </si>
  <si>
    <t>IDA only group aggregate.</t>
  </si>
  <si>
    <t>IDA only</t>
  </si>
  <si>
    <t>IMN</t>
  </si>
  <si>
    <t>Fiscal year end: March 31; reporting period for national account data: FY. Classification for years after 2012 was adjusted and figures were re-estimated by the World Bank, based on the detailed data published by the Cabinet Office, and are not consistent with data for 2011 and before.</t>
  </si>
  <si>
    <t>Isle of Man</t>
  </si>
  <si>
    <t>IND</t>
  </si>
  <si>
    <t>Fiscal year end: March 31; reporting period for national accounts data: FY.</t>
  </si>
  <si>
    <t>India</t>
  </si>
  <si>
    <t>IRL</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</si>
  <si>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</si>
  <si>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Ireland</t>
  </si>
  <si>
    <t>IRN</t>
  </si>
  <si>
    <t>Iran, Islamic Rep.</t>
  </si>
  <si>
    <t>IRQ</t>
  </si>
  <si>
    <t>Iraq</t>
  </si>
  <si>
    <t>ISL</t>
  </si>
  <si>
    <t>Iceland</t>
  </si>
  <si>
    <t>ISR</t>
  </si>
  <si>
    <t>Israel</t>
  </si>
  <si>
    <t>ITA</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</si>
  <si>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</si>
  <si>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Italy</t>
  </si>
  <si>
    <t>JAM</t>
  </si>
  <si>
    <t>Jamaica</t>
  </si>
  <si>
    <t>JOR</t>
  </si>
  <si>
    <t>Jordan</t>
  </si>
  <si>
    <t>JPN</t>
  </si>
  <si>
    <t>Japan</t>
  </si>
  <si>
    <t>KAZ</t>
  </si>
  <si>
    <t>Kazakhstan</t>
  </si>
  <si>
    <t>KEN</t>
  </si>
  <si>
    <t>Fiscal year end: June 30; reporting period for national accounts data: CY.</t>
  </si>
  <si>
    <t>Kenya</t>
  </si>
  <si>
    <t>KGZ</t>
  </si>
  <si>
    <t>Kyrgyz Republic</t>
  </si>
  <si>
    <t>KHM</t>
  </si>
  <si>
    <t>Cambodia</t>
  </si>
  <si>
    <t>KIR</t>
  </si>
  <si>
    <t>Kiribati</t>
  </si>
  <si>
    <t>KNA</t>
  </si>
  <si>
    <t>St. Kitts and Nevis</t>
  </si>
  <si>
    <t>KOR</t>
  </si>
  <si>
    <t>Korea, Rep.</t>
  </si>
  <si>
    <t>KWT</t>
  </si>
  <si>
    <t>Kuwait</t>
  </si>
  <si>
    <t>LAC</t>
  </si>
  <si>
    <t>Latin America &amp; Caribbean (excluding high income)</t>
  </si>
  <si>
    <t>LAO</t>
  </si>
  <si>
    <t>Lao PDR</t>
  </si>
  <si>
    <t>LBN</t>
  </si>
  <si>
    <t>Lebanon</t>
  </si>
  <si>
    <t>LBR</t>
  </si>
  <si>
    <t>Liberia</t>
  </si>
  <si>
    <t>LBY</t>
  </si>
  <si>
    <t>Libya</t>
  </si>
  <si>
    <t>LCA</t>
  </si>
  <si>
    <t>St. Lucia</t>
  </si>
  <si>
    <t>LCN</t>
  </si>
  <si>
    <t>LDC</t>
  </si>
  <si>
    <t>Least developed countries: UN classification</t>
  </si>
  <si>
    <t>LIC</t>
  </si>
  <si>
    <t>Low income group aggregate. Low-income economies are those in which 2020 GNI per capita was $1,045 or less.</t>
  </si>
  <si>
    <t>LIE</t>
  </si>
  <si>
    <t>Liechtenstein</t>
  </si>
  <si>
    <t>LKA</t>
  </si>
  <si>
    <t>Sri Lanka</t>
  </si>
  <si>
    <t>LMC</t>
  </si>
  <si>
    <t>Lower middle income group aggregate. Lower-middle-income economies are those in which 2020 GNI per capita was between $1,046 and $4,095.</t>
  </si>
  <si>
    <t>LMY</t>
  </si>
  <si>
    <t>Low &amp; middle income</t>
  </si>
  <si>
    <t>LSO</t>
  </si>
  <si>
    <t>Lesotho</t>
  </si>
  <si>
    <t>LTE</t>
  </si>
  <si>
    <t>Late-demographic dividend</t>
  </si>
  <si>
    <t>LTU</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</si>
  <si>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</si>
  <si>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Lithuania</t>
  </si>
  <si>
    <t>LUX</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</si>
  <si>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</si>
  <si>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Luxembourg</t>
  </si>
  <si>
    <t>LVA</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</si>
  <si>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</si>
  <si>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Latvia</t>
  </si>
  <si>
    <t>MAC</t>
  </si>
  <si>
    <t>On 20 December 1999 China resumed its exercise of sovereignty over Macao. Unless otherwise noted, data for China do not include data for Hong Kong SAR, China; Macao SAR, China; or Taiwan, China.</t>
  </si>
  <si>
    <t>Macao SAR, China</t>
  </si>
  <si>
    <t>MAF</t>
  </si>
  <si>
    <t>St. Martin (French part)</t>
  </si>
  <si>
    <t>MAR</t>
  </si>
  <si>
    <t>Morocco</t>
  </si>
  <si>
    <t>MCO</t>
  </si>
  <si>
    <t>Monaco</t>
  </si>
  <si>
    <t>MDA</t>
  </si>
  <si>
    <t>Excluding Transnistria. For 1950-94, World Bank estimates using UN World Population Prospects' growth rates of whole Moldova.</t>
  </si>
  <si>
    <t>Moldova</t>
  </si>
  <si>
    <t>MDG</t>
  </si>
  <si>
    <t>Madagascar</t>
  </si>
  <si>
    <t>MDV</t>
  </si>
  <si>
    <t>Maldives</t>
  </si>
  <si>
    <t>MEA</t>
  </si>
  <si>
    <t>Middle East and North Africa regional aggregate (includes all income levels).</t>
  </si>
  <si>
    <t>MEX</t>
  </si>
  <si>
    <t>Mexico</t>
  </si>
  <si>
    <t>MHL</t>
  </si>
  <si>
    <t>Fiscal year ends on September 30; reporting period for national accounts data: FY.</t>
  </si>
  <si>
    <t>Marshall Islands</t>
  </si>
  <si>
    <t>MIC</t>
  </si>
  <si>
    <t>Middle income group aggregate. Middle-income economies are those in which 2020 GNI per capita was between $1,046 and $12,695.</t>
  </si>
  <si>
    <t>Middle income</t>
  </si>
  <si>
    <t>MKD</t>
  </si>
  <si>
    <t>North Macedonia</t>
  </si>
  <si>
    <t>MLI</t>
  </si>
  <si>
    <t>Mali</t>
  </si>
  <si>
    <t>MLT</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</si>
  <si>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</si>
  <si>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Malta</t>
  </si>
  <si>
    <t>MMR</t>
  </si>
  <si>
    <t>Myanmar</t>
  </si>
  <si>
    <t>MNA</t>
  </si>
  <si>
    <t>Middle East &amp; North Africa (excluding high income)</t>
  </si>
  <si>
    <t>MNE</t>
  </si>
  <si>
    <t>Montenegro declared independence from Serbia and Montenegro on June 3, 2006. Where available, data for each country are shown separately. However, for Serbia, some indicators continue to include data for Montenegro through 2005.</t>
  </si>
  <si>
    <t>Montenegro</t>
  </si>
  <si>
    <t>MNG</t>
  </si>
  <si>
    <t>Mongolia</t>
  </si>
  <si>
    <t>MNP</t>
  </si>
  <si>
    <t>Northern Mariana Islands</t>
  </si>
  <si>
    <t>MOZ</t>
  </si>
  <si>
    <t>Mozambique</t>
  </si>
  <si>
    <t>MRT</t>
  </si>
  <si>
    <t>National account data were adjusted to reflect the new banknote (1 new ouguiya = 10 old ouguiya)</t>
  </si>
  <si>
    <t>Mauritania</t>
  </si>
  <si>
    <t>MUS</t>
  </si>
  <si>
    <t>Mauritius</t>
  </si>
  <si>
    <t>MWI</t>
  </si>
  <si>
    <t>Malawi</t>
  </si>
  <si>
    <t>MYS</t>
  </si>
  <si>
    <t>Malaysia</t>
  </si>
  <si>
    <t>NAC</t>
  </si>
  <si>
    <t>North America regional aggregate. There are no economies in North America classified as low or middle income.</t>
  </si>
  <si>
    <t>NAM</t>
  </si>
  <si>
    <t>Namibia</t>
  </si>
  <si>
    <t>NCL</t>
  </si>
  <si>
    <t>New Caledonia</t>
  </si>
  <si>
    <t>NER</t>
  </si>
  <si>
    <t>Niger</t>
  </si>
  <si>
    <t>NGA</t>
  </si>
  <si>
    <t>Nigeria</t>
  </si>
  <si>
    <t>NIC</t>
  </si>
  <si>
    <t>Nicaragua</t>
  </si>
  <si>
    <t>NLD</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</si>
  <si>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</si>
  <si>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Netherlands</t>
  </si>
  <si>
    <t>NOR</t>
  </si>
  <si>
    <t>Norway</t>
  </si>
  <si>
    <t>NPL</t>
  </si>
  <si>
    <t>Fiscal year end: July 14; reporting period for national accounts data: FY.</t>
  </si>
  <si>
    <t>Nepal</t>
  </si>
  <si>
    <t>NRU</t>
  </si>
  <si>
    <t>Nauru</t>
  </si>
  <si>
    <t>NZL</t>
  </si>
  <si>
    <t>New Zealand</t>
  </si>
  <si>
    <t>OED</t>
  </si>
  <si>
    <t>OECD members</t>
  </si>
  <si>
    <t>OMN</t>
  </si>
  <si>
    <t>Oman</t>
  </si>
  <si>
    <t>OSS</t>
  </si>
  <si>
    <t>Other small states</t>
  </si>
  <si>
    <t>PAK</t>
  </si>
  <si>
    <t>Pakistan</t>
  </si>
  <si>
    <t>PAN</t>
  </si>
  <si>
    <t>Panama</t>
  </si>
  <si>
    <t>PER</t>
  </si>
  <si>
    <t>Peru</t>
  </si>
  <si>
    <t>PHL</t>
  </si>
  <si>
    <t>Philippines</t>
  </si>
  <si>
    <t>PLW</t>
  </si>
  <si>
    <t>Palau</t>
  </si>
  <si>
    <t>PNG</t>
  </si>
  <si>
    <t>Papua New Guinea</t>
  </si>
  <si>
    <t>POL</t>
  </si>
  <si>
    <t>Poland</t>
  </si>
  <si>
    <t>PRE</t>
  </si>
  <si>
    <t>Pre-dividend countries are mostly low-income countries, lagging in key human development indicators and with current fertility levels above four births per woman. They face very rapid population growth.</t>
  </si>
  <si>
    <t>Pre-demographic dividend</t>
  </si>
  <si>
    <t>PRI</t>
  </si>
  <si>
    <t>Puerto Rico</t>
  </si>
  <si>
    <t>PRK</t>
  </si>
  <si>
    <t>Korea, Dem. People's Rep.</t>
  </si>
  <si>
    <t>PRT</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</si>
  <si>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</si>
  <si>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Portugal</t>
  </si>
  <si>
    <t>PRY</t>
  </si>
  <si>
    <t>Paraguay</t>
  </si>
  <si>
    <t>PSE</t>
  </si>
  <si>
    <t>West Bank and Gaza</t>
  </si>
  <si>
    <t>PSS</t>
  </si>
  <si>
    <t>Pacific island small states aggregate.</t>
  </si>
  <si>
    <t>Pacific island small states</t>
  </si>
  <si>
    <t>PST</t>
  </si>
  <si>
    <t>Post-dividend countries are mostly high-income countries where fertility has transitioned below replacement levels.</t>
  </si>
  <si>
    <t>Post-demographic dividend</t>
  </si>
  <si>
    <t>PYF</t>
  </si>
  <si>
    <t>French Polynesia</t>
  </si>
  <si>
    <t>QAT</t>
  </si>
  <si>
    <t>Qatar</t>
  </si>
  <si>
    <t>ROU</t>
  </si>
  <si>
    <t>Romania</t>
  </si>
  <si>
    <t>RUS</t>
  </si>
  <si>
    <t>Russian Federation</t>
  </si>
  <si>
    <t>RWA</t>
  </si>
  <si>
    <t>Rwanda</t>
  </si>
  <si>
    <t>SAS</t>
  </si>
  <si>
    <t>SAU</t>
  </si>
  <si>
    <t>Saudi Arabia</t>
  </si>
  <si>
    <t>SDN</t>
  </si>
  <si>
    <t>Sudan</t>
  </si>
  <si>
    <t>SEN</t>
  </si>
  <si>
    <t>Senegal</t>
  </si>
  <si>
    <t>SGP</t>
  </si>
  <si>
    <t>Singapore</t>
  </si>
  <si>
    <t>SLB</t>
  </si>
  <si>
    <t>Solomon Islands</t>
  </si>
  <si>
    <t>SLE</t>
  </si>
  <si>
    <t>Sierra Leone</t>
  </si>
  <si>
    <t>SLV</t>
  </si>
  <si>
    <t>El Salvador</t>
  </si>
  <si>
    <t>SMR</t>
  </si>
  <si>
    <t>San Marino</t>
  </si>
  <si>
    <t>SOM</t>
  </si>
  <si>
    <t>Somalia</t>
  </si>
  <si>
    <t>SRB</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</si>
  <si>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</si>
  <si>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Serbia</t>
  </si>
  <si>
    <t>SSA</t>
  </si>
  <si>
    <t>Sub-Saharan Africa (excluding high income)</t>
  </si>
  <si>
    <t>SSD</t>
  </si>
  <si>
    <t>South Sudan</t>
  </si>
  <si>
    <t>SSF</t>
  </si>
  <si>
    <t>Sub-Saharan Africa regional aggregate (includes all income levels).</t>
  </si>
  <si>
    <t>SST</t>
  </si>
  <si>
    <t>Small states (members of the Small States Forum) aggregate.</t>
  </si>
  <si>
    <t>Small states</t>
  </si>
  <si>
    <t>STP</t>
  </si>
  <si>
    <t>National account data were adjusted to reflect the new banknote (1 new Dobra STN = 1000 old Dobra STD)</t>
  </si>
  <si>
    <t>São Tomé and Principe</t>
  </si>
  <si>
    <t>SUR</t>
  </si>
  <si>
    <t>Suriname</t>
  </si>
  <si>
    <t>SVK</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</si>
  <si>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</si>
  <si>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Slovak Republic</t>
  </si>
  <si>
    <t>SVN</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</si>
  <si>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</si>
  <si>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Slovenia</t>
  </si>
  <si>
    <t>SWE</t>
  </si>
  <si>
    <t>Sweden</t>
  </si>
  <si>
    <t>SWZ</t>
  </si>
  <si>
    <t>Fiscal year end: March 31; reporting period for national accounts data: CY. Authorities revised national accounts from 1999 to 2015.</t>
  </si>
  <si>
    <t>Eswatini</t>
  </si>
  <si>
    <t>SXM</t>
  </si>
  <si>
    <t>Sint Maarten (Dutch part)</t>
  </si>
  <si>
    <t>SYC</t>
  </si>
  <si>
    <t>Seychelles</t>
  </si>
  <si>
    <t>SYR</t>
  </si>
  <si>
    <t>Syrian Arab Republic</t>
  </si>
  <si>
    <t>TCA</t>
  </si>
  <si>
    <t>Turks and Caicos Islands</t>
  </si>
  <si>
    <t>TCD</t>
  </si>
  <si>
    <t>Chad</t>
  </si>
  <si>
    <t>TEA</t>
  </si>
  <si>
    <t>East Asia &amp; Pacific (IDA &amp; IBRD countries) aggregate.</t>
  </si>
  <si>
    <t>East Asia &amp; Pacific (IDA &amp; IBRD)</t>
  </si>
  <si>
    <t>TEC</t>
  </si>
  <si>
    <t>Europe &amp; Central Asia (IDA &amp; IBRD countries) aggregate.</t>
  </si>
  <si>
    <t>Europe &amp; Central Asia (IDA &amp; IBRD)</t>
  </si>
  <si>
    <t>TGO</t>
  </si>
  <si>
    <t>Togo</t>
  </si>
  <si>
    <t>THA</t>
  </si>
  <si>
    <t>Fiscal year end: September 30; reporting period for national accounts data: CY.</t>
  </si>
  <si>
    <t>Thailand</t>
  </si>
  <si>
    <t>TJK</t>
  </si>
  <si>
    <t>Tajikistan</t>
  </si>
  <si>
    <t>TKM</t>
  </si>
  <si>
    <t>Turkmenistan</t>
  </si>
  <si>
    <t>TLA</t>
  </si>
  <si>
    <t>Latin America &amp; the Caribbean (IDA &amp; IBRD countries) aggregate.</t>
  </si>
  <si>
    <t>Latin America &amp; Caribbean (IDA &amp; IBRD)</t>
  </si>
  <si>
    <t>TLS</t>
  </si>
  <si>
    <t>Timor-Leste</t>
  </si>
  <si>
    <t>TMN</t>
  </si>
  <si>
    <t>Middle East &amp; North Africa (IDA &amp; IBRD countries) aggregate.</t>
  </si>
  <si>
    <t>Middle East &amp; North Africa (IDA &amp; IBRD)</t>
  </si>
  <si>
    <t>TON</t>
  </si>
  <si>
    <t>Tonga</t>
  </si>
  <si>
    <t>TSA</t>
  </si>
  <si>
    <t>South Asia (IDA &amp; IBRD countries) aggregate.</t>
  </si>
  <si>
    <t>South Asia (IDA &amp; IBRD)</t>
  </si>
  <si>
    <t>TSS</t>
  </si>
  <si>
    <t>Sub-Saharan Africa (IDA &amp; IBRD countries) aggregate.</t>
  </si>
  <si>
    <t>Sub-Saharan Africa (IDA &amp; IBRD)</t>
  </si>
  <si>
    <t>TTO</t>
  </si>
  <si>
    <t>Trinidad and Tobago</t>
  </si>
  <si>
    <t>TUN</t>
  </si>
  <si>
    <t>Tunisia</t>
  </si>
  <si>
    <t>TUR</t>
  </si>
  <si>
    <t>Turkey</t>
  </si>
  <si>
    <t>TUV</t>
  </si>
  <si>
    <t>Tuvalu</t>
  </si>
  <si>
    <t>TZA</t>
  </si>
  <si>
    <t>Tanzania</t>
  </si>
  <si>
    <t>UGA</t>
  </si>
  <si>
    <t>Uganda</t>
  </si>
  <si>
    <t>UKR</t>
  </si>
  <si>
    <t>Ukraine</t>
  </si>
  <si>
    <t>UMC</t>
  </si>
  <si>
    <t>Upper middle income group aggregate. Upper-middle-income economies are those in which 2020 GNI per capita was between $4,096 and $12,695.</t>
  </si>
  <si>
    <t>URY</t>
  </si>
  <si>
    <t>Uruguay</t>
  </si>
  <si>
    <t>USA</t>
  </si>
  <si>
    <t>United States</t>
  </si>
  <si>
    <t>UZB</t>
  </si>
  <si>
    <t>Uzbekistan</t>
  </si>
  <si>
    <t>VCT</t>
  </si>
  <si>
    <t>St. Vincent and the Grenadines</t>
  </si>
  <si>
    <t>VEN</t>
  </si>
  <si>
    <t>Venezuela, RB</t>
  </si>
  <si>
    <t>VGB</t>
  </si>
  <si>
    <t>British Virgin Islands</t>
  </si>
  <si>
    <t>VIR</t>
  </si>
  <si>
    <t>Virgin Islands (U.S.)</t>
  </si>
  <si>
    <t>VNM</t>
  </si>
  <si>
    <t>Vietnam</t>
  </si>
  <si>
    <t>VUT</t>
  </si>
  <si>
    <t>Vanuatu</t>
  </si>
  <si>
    <t>WLD</t>
  </si>
  <si>
    <t>World aggregate.</t>
  </si>
  <si>
    <t>World</t>
  </si>
  <si>
    <t>WSM</t>
  </si>
  <si>
    <t>Fiscal year ends on June 30; reporting period for national accounts data: FY.</t>
  </si>
  <si>
    <t>Samoa</t>
  </si>
  <si>
    <t>XKX</t>
  </si>
  <si>
    <t>Kosovo</t>
  </si>
  <si>
    <t>YEM</t>
  </si>
  <si>
    <t>Yemen, Rep.</t>
  </si>
  <si>
    <t>ZAF</t>
  </si>
  <si>
    <t>South Africa</t>
  </si>
  <si>
    <t>ZMB</t>
  </si>
  <si>
    <t>National accounts data were rebased to reflect the January 1, 2013, introduction of the new Zambian kwacha at a rate of 1,000 old kwacha = 1 new kwacha.</t>
  </si>
  <si>
    <t>Zambia</t>
  </si>
  <si>
    <t>ZWE</t>
  </si>
  <si>
    <t>National Accounts data are in Zimbabwean Dollar (ZWL). Before 2017, one ZWL is set to be equal to one USD.</t>
  </si>
  <si>
    <t>Zimbabwe</t>
  </si>
  <si>
    <t>INDICATOR_CODE</t>
  </si>
  <si>
    <t>INDICATOR_NAME</t>
  </si>
  <si>
    <t>SOURCE_NOTE</t>
  </si>
  <si>
    <t>SOURCE_ORGANIZATION</t>
  </si>
  <si>
    <t>AG.LND.FRST.ZS</t>
  </si>
  <si>
    <t>Forest area (% of land area)</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</si>
  <si>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</si>
  <si>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Food and Agriculture Organization, electronic files and web site.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</si>
</sst>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ont>
    <font>
      <sz val="11"/>
      <color rgb="FF000000"/>
      <name val="Calibri"/>
      <family val="2"/>
    </font>
    <font>
      <sz val="11"/>
      <color theme="1"/>
      <name val="Calibri"/>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applyFont="1" applyAlignment="1"/>
    <xf numFmtId="0" fontId="1" fillId="0" borderId="0" xfId="0" applyFont="1" applyAlignment="1"/>
    <xf numFmtId="0" fontId="1" fillId="0" borderId="0" xfId="0" applyFont="1" applyAlignment="1">
      <alignment horizontal="right"/>
    </xf>
    <xf numFmtId="0" fontId="1" fillId="0" borderId="0" xfId="0" applyFont="1" applyAlignment="1">
      <alignment horizontal="right"/>
    </xf>
    <xf numFmtId="0" fontId="1" fillId="0" borderId="0" xfId="0" applyFont="1" applyAlignment="1"/>
    <xf numFmtId="0" fontId="2" fillId="0" borderId="0" xfId="0" applyFont="1" applyAlignment="1"/>
    <xf numFmtId="0" fontId="2" fillId="0" borderId="0" xfId="0" applyFont="1"/>
    <xf numFmtId="0" fontId="2" fillId="0" borderId="1" xfId="0" applyFont="1" applyBorder="1" applyAlignment="1"/>
    <xf numFmtId="0" fontId="2" fillId="0" borderId="1" xfId="0" applyFont="1" applyBorder="1"/>
    <xf numFmtId="0" fontId="0" fillId="0" borderId="0" xfId="0" applyFont="1" applyAlignment="1">
      <alignment wrapText="1"/>
    </xf>
    <xf numFmtId="0" fontId="2" fillId="0" borderId="0" xfId="0" applyFont="1" applyAlignment="1"/>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1"/>
  <c:style val="2"/>
  <c:chart>
    <c:autoTitleDeleted val="1"/>
    <c:plotArea>
      <c:layout/>
      <c:lineChart>
        <c:grouping val="standard"/>
        <c:varyColors val="1"/>
        <c:ser>
          <c:idx val="0"/>
          <c:order val="0"/>
          <c:tx>
            <c:strRef>
              <c:f>Data!$AI$2</c:f>
              <c:strCache>
                <c:ptCount val="1"/>
                <c:pt idx="0">
                  <c:v>Benin</c:v>
                </c:pt>
              </c:strCache>
            </c:strRef>
          </c:tx>
          <c:spPr>
            <a:ln cmpd="sng">
              <a:solidFill>
                <a:srgbClr val="4F81BD"/>
              </a:solidFill>
            </a:ln>
          </c:spPr>
          <c:marker>
            <c:symbol val="none"/>
          </c:marker>
          <c:cat>
            <c:strRef>
              <c:f>Data!$AJ$1:$BL$1</c:f>
              <c:strCach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strCache>
            </c:strRef>
          </c:cat>
          <c:val>
            <c:numRef>
              <c:f>Data!$AJ$2:$BL$2</c:f>
              <c:numCache>
                <c:formatCode>General</c:formatCode>
                <c:ptCount val="29"/>
                <c:pt idx="0">
                  <c:v>42.880010599999999</c:v>
                </c:pt>
                <c:pt idx="1">
                  <c:v>42.2592231</c:v>
                </c:pt>
                <c:pt idx="2">
                  <c:v>41.638435600000001</c:v>
                </c:pt>
                <c:pt idx="3">
                  <c:v>41.017648100000002</c:v>
                </c:pt>
                <c:pt idx="4">
                  <c:v>40.396860599999997</c:v>
                </c:pt>
                <c:pt idx="5">
                  <c:v>39.776073099999998</c:v>
                </c:pt>
                <c:pt idx="6">
                  <c:v>39.155285599999999</c:v>
                </c:pt>
                <c:pt idx="7">
                  <c:v>38.534497999999999</c:v>
                </c:pt>
                <c:pt idx="8">
                  <c:v>37.913710500000001</c:v>
                </c:pt>
                <c:pt idx="9">
                  <c:v>37.292923000000002</c:v>
                </c:pt>
                <c:pt idx="10">
                  <c:v>36.672135500000003</c:v>
                </c:pt>
                <c:pt idx="11">
                  <c:v>36.228715899999997</c:v>
                </c:pt>
                <c:pt idx="12">
                  <c:v>35.785296199999998</c:v>
                </c:pt>
                <c:pt idx="13">
                  <c:v>35.341876599999999</c:v>
                </c:pt>
                <c:pt idx="14">
                  <c:v>34.898456899999999</c:v>
                </c:pt>
                <c:pt idx="15">
                  <c:v>34.4550372</c:v>
                </c:pt>
                <c:pt idx="16">
                  <c:v>34.011617600000001</c:v>
                </c:pt>
                <c:pt idx="17">
                  <c:v>33.568197900000001</c:v>
                </c:pt>
                <c:pt idx="18">
                  <c:v>33.124778300000003</c:v>
                </c:pt>
                <c:pt idx="19">
                  <c:v>32.681358600000003</c:v>
                </c:pt>
                <c:pt idx="20">
                  <c:v>32.237938999999997</c:v>
                </c:pt>
                <c:pt idx="21">
                  <c:v>31.794519300000001</c:v>
                </c:pt>
                <c:pt idx="22">
                  <c:v>31.351099699999999</c:v>
                </c:pt>
                <c:pt idx="23">
                  <c:v>30.907679999999999</c:v>
                </c:pt>
                <c:pt idx="24">
                  <c:v>30.464260400000001</c:v>
                </c:pt>
                <c:pt idx="25">
                  <c:v>30.020840700000001</c:v>
                </c:pt>
                <c:pt idx="26">
                  <c:v>29.577421099999999</c:v>
                </c:pt>
                <c:pt idx="27">
                  <c:v>29.134001399999999</c:v>
                </c:pt>
                <c:pt idx="28">
                  <c:v>28.6905818</c:v>
                </c:pt>
              </c:numCache>
            </c:numRef>
          </c:val>
          <c:smooth val="0"/>
        </c:ser>
        <c:ser>
          <c:idx val="1"/>
          <c:order val="1"/>
          <c:tx>
            <c:strRef>
              <c:f>Data!$AI$3</c:f>
              <c:strCache>
                <c:ptCount val="1"/>
                <c:pt idx="0">
                  <c:v>Brazil</c:v>
                </c:pt>
              </c:strCache>
            </c:strRef>
          </c:tx>
          <c:spPr>
            <a:ln cmpd="sng">
              <a:solidFill>
                <a:srgbClr val="C0504D"/>
              </a:solidFill>
            </a:ln>
          </c:spPr>
          <c:marker>
            <c:symbol val="none"/>
          </c:marker>
          <c:cat>
            <c:strRef>
              <c:f>Data!$AJ$1:$BL$1</c:f>
              <c:strCach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strCache>
            </c:strRef>
          </c:cat>
          <c:val>
            <c:numRef>
              <c:f>Data!$AJ$3:$BL$3</c:f>
              <c:numCache>
                <c:formatCode>General</c:formatCode>
                <c:ptCount val="29"/>
                <c:pt idx="0">
                  <c:v>70.458020599999998</c:v>
                </c:pt>
                <c:pt idx="1">
                  <c:v>70.005654399999997</c:v>
                </c:pt>
                <c:pt idx="2">
                  <c:v>69.553288199999997</c:v>
                </c:pt>
                <c:pt idx="3">
                  <c:v>69.100921999999997</c:v>
                </c:pt>
                <c:pt idx="4">
                  <c:v>68.648555799999997</c:v>
                </c:pt>
                <c:pt idx="5">
                  <c:v>68.196189599999997</c:v>
                </c:pt>
                <c:pt idx="6">
                  <c:v>67.743823399999997</c:v>
                </c:pt>
                <c:pt idx="7">
                  <c:v>67.291457199999996</c:v>
                </c:pt>
                <c:pt idx="8">
                  <c:v>66.839090999999996</c:v>
                </c:pt>
                <c:pt idx="9">
                  <c:v>66.386724799999996</c:v>
                </c:pt>
                <c:pt idx="10">
                  <c:v>65.934358599999996</c:v>
                </c:pt>
                <c:pt idx="11">
                  <c:v>65.461670900000001</c:v>
                </c:pt>
                <c:pt idx="12">
                  <c:v>64.988983200000007</c:v>
                </c:pt>
                <c:pt idx="13">
                  <c:v>64.516295499999998</c:v>
                </c:pt>
                <c:pt idx="14">
                  <c:v>64.043607800000004</c:v>
                </c:pt>
                <c:pt idx="15">
                  <c:v>63.570920100000002</c:v>
                </c:pt>
                <c:pt idx="16">
                  <c:v>63.098232400000001</c:v>
                </c:pt>
                <c:pt idx="17">
                  <c:v>62.625544699999999</c:v>
                </c:pt>
                <c:pt idx="18">
                  <c:v>62.152856999999997</c:v>
                </c:pt>
                <c:pt idx="19">
                  <c:v>61.680169300000003</c:v>
                </c:pt>
                <c:pt idx="20">
                  <c:v>61.207481600000001</c:v>
                </c:pt>
                <c:pt idx="21">
                  <c:v>61.023328200000002</c:v>
                </c:pt>
                <c:pt idx="22">
                  <c:v>60.839174700000001</c:v>
                </c:pt>
                <c:pt idx="23">
                  <c:v>60.655021300000001</c:v>
                </c:pt>
                <c:pt idx="24">
                  <c:v>60.470867900000002</c:v>
                </c:pt>
                <c:pt idx="25">
                  <c:v>60.286714500000002</c:v>
                </c:pt>
                <c:pt idx="26">
                  <c:v>60.071032600000002</c:v>
                </c:pt>
                <c:pt idx="27">
                  <c:v>59.832881499999999</c:v>
                </c:pt>
                <c:pt idx="28">
                  <c:v>59.708427999999998</c:v>
                </c:pt>
              </c:numCache>
            </c:numRef>
          </c:val>
          <c:smooth val="0"/>
        </c:ser>
        <c:ser>
          <c:idx val="2"/>
          <c:order val="2"/>
          <c:tx>
            <c:strRef>
              <c:f>Data!$AI$4</c:f>
              <c:strCache>
                <c:ptCount val="1"/>
                <c:pt idx="0">
                  <c:v>Africa Eastern and Southern</c:v>
                </c:pt>
              </c:strCache>
            </c:strRef>
          </c:tx>
          <c:spPr>
            <a:ln cmpd="sng">
              <a:solidFill>
                <a:srgbClr val="9BBB59"/>
              </a:solidFill>
            </a:ln>
          </c:spPr>
          <c:marker>
            <c:symbol val="none"/>
          </c:marker>
          <c:cat>
            <c:strRef>
              <c:f>Data!$AJ$1:$BL$1</c:f>
              <c:strCach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strCache>
            </c:strRef>
          </c:cat>
          <c:val>
            <c:numRef>
              <c:f>Data!$AJ$4:$BL$4</c:f>
              <c:numCache>
                <c:formatCode>General</c:formatCode>
                <c:ptCount val="29"/>
                <c:pt idx="0">
                  <c:v>40.565911999999997</c:v>
                </c:pt>
                <c:pt idx="1">
                  <c:v>40.403946400000002</c:v>
                </c:pt>
                <c:pt idx="2">
                  <c:v>40.235806699999998</c:v>
                </c:pt>
                <c:pt idx="3">
                  <c:v>40.269689999999997</c:v>
                </c:pt>
                <c:pt idx="4">
                  <c:v>40.1032704</c:v>
                </c:pt>
                <c:pt idx="5">
                  <c:v>39.936850800000002</c:v>
                </c:pt>
                <c:pt idx="6">
                  <c:v>39.770431199999997</c:v>
                </c:pt>
                <c:pt idx="7">
                  <c:v>39.6040116</c:v>
                </c:pt>
                <c:pt idx="8">
                  <c:v>39.437592000000002</c:v>
                </c:pt>
                <c:pt idx="9">
                  <c:v>39.271172399999998</c:v>
                </c:pt>
                <c:pt idx="10">
                  <c:v>33.980631500000001</c:v>
                </c:pt>
                <c:pt idx="11">
                  <c:v>38.903980099999998</c:v>
                </c:pt>
                <c:pt idx="12">
                  <c:v>38.703207300000003</c:v>
                </c:pt>
                <c:pt idx="13">
                  <c:v>38.502434600000001</c:v>
                </c:pt>
                <c:pt idx="14">
                  <c:v>37.899950799999999</c:v>
                </c:pt>
                <c:pt idx="15">
                  <c:v>37.701120299999999</c:v>
                </c:pt>
                <c:pt idx="16">
                  <c:v>37.502464500000002</c:v>
                </c:pt>
                <c:pt idx="17">
                  <c:v>37.303880200000002</c:v>
                </c:pt>
                <c:pt idx="18">
                  <c:v>37.105259400000001</c:v>
                </c:pt>
                <c:pt idx="19">
                  <c:v>36.906595699999997</c:v>
                </c:pt>
                <c:pt idx="20">
                  <c:v>31.910877899999999</c:v>
                </c:pt>
                <c:pt idx="21">
                  <c:v>32.183134799999998</c:v>
                </c:pt>
                <c:pt idx="22">
                  <c:v>31.972492299999999</c:v>
                </c:pt>
                <c:pt idx="23">
                  <c:v>31.761841700000002</c:v>
                </c:pt>
                <c:pt idx="24">
                  <c:v>31.5512701</c:v>
                </c:pt>
                <c:pt idx="25">
                  <c:v>31.340525599999999</c:v>
                </c:pt>
                <c:pt idx="26">
                  <c:v>31.1194314</c:v>
                </c:pt>
                <c:pt idx="27">
                  <c:v>30.903542900000001</c:v>
                </c:pt>
                <c:pt idx="28">
                  <c:v>30.690224300000001</c:v>
                </c:pt>
              </c:numCache>
            </c:numRef>
          </c:val>
          <c:smooth val="0"/>
        </c:ser>
        <c:ser>
          <c:idx val="3"/>
          <c:order val="3"/>
          <c:tx>
            <c:strRef>
              <c:f>Data!$AI$5</c:f>
              <c:strCache>
                <c:ptCount val="1"/>
                <c:pt idx="0">
                  <c:v>Angola</c:v>
                </c:pt>
              </c:strCache>
            </c:strRef>
          </c:tx>
          <c:spPr>
            <a:ln cmpd="sng">
              <a:solidFill>
                <a:srgbClr val="8064A2"/>
              </a:solidFill>
            </a:ln>
          </c:spPr>
          <c:marker>
            <c:symbol val="none"/>
          </c:marker>
          <c:cat>
            <c:strRef>
              <c:f>Data!$AJ$1:$BL$1</c:f>
              <c:strCach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strCache>
            </c:strRef>
          </c:cat>
          <c:val>
            <c:numRef>
              <c:f>Data!$AJ$5:$BL$5</c:f>
              <c:numCache>
                <c:formatCode>General</c:formatCode>
                <c:ptCount val="29"/>
                <c:pt idx="0">
                  <c:v>63.578070099999998</c:v>
                </c:pt>
                <c:pt idx="1">
                  <c:v>63.453407400000003</c:v>
                </c:pt>
                <c:pt idx="2">
                  <c:v>63.328744700000001</c:v>
                </c:pt>
                <c:pt idx="3">
                  <c:v>63.204082</c:v>
                </c:pt>
                <c:pt idx="4">
                  <c:v>63.079419299999998</c:v>
                </c:pt>
                <c:pt idx="5">
                  <c:v>62.954756600000003</c:v>
                </c:pt>
                <c:pt idx="6">
                  <c:v>62.8300938</c:v>
                </c:pt>
                <c:pt idx="7">
                  <c:v>62.705431099999998</c:v>
                </c:pt>
                <c:pt idx="8">
                  <c:v>62.580768399999997</c:v>
                </c:pt>
                <c:pt idx="9">
                  <c:v>62.456105700000002</c:v>
                </c:pt>
                <c:pt idx="10">
                  <c:v>62.331443</c:v>
                </c:pt>
                <c:pt idx="11">
                  <c:v>61.886218800000002</c:v>
                </c:pt>
                <c:pt idx="12">
                  <c:v>61.440994600000003</c:v>
                </c:pt>
                <c:pt idx="13">
                  <c:v>60.995770399999998</c:v>
                </c:pt>
                <c:pt idx="14">
                  <c:v>60.550546199999999</c:v>
                </c:pt>
                <c:pt idx="15">
                  <c:v>60.105322100000002</c:v>
                </c:pt>
                <c:pt idx="16">
                  <c:v>59.660097899999997</c:v>
                </c:pt>
                <c:pt idx="17">
                  <c:v>59.214873699999998</c:v>
                </c:pt>
                <c:pt idx="18">
                  <c:v>58.7696495</c:v>
                </c:pt>
                <c:pt idx="19">
                  <c:v>58.324425300000001</c:v>
                </c:pt>
                <c:pt idx="20">
                  <c:v>57.879201100000003</c:v>
                </c:pt>
                <c:pt idx="21">
                  <c:v>57.433976100000002</c:v>
                </c:pt>
                <c:pt idx="22">
                  <c:v>56.988751100000002</c:v>
                </c:pt>
                <c:pt idx="23">
                  <c:v>56.543526100000001</c:v>
                </c:pt>
                <c:pt idx="24">
                  <c:v>56.0983011</c:v>
                </c:pt>
                <c:pt idx="25">
                  <c:v>55.6530761</c:v>
                </c:pt>
                <c:pt idx="26">
                  <c:v>55.207844700000003</c:v>
                </c:pt>
                <c:pt idx="27">
                  <c:v>54.7626293</c:v>
                </c:pt>
                <c:pt idx="28">
                  <c:v>54.317405999999998</c:v>
                </c:pt>
              </c:numCache>
            </c:numRef>
          </c:val>
          <c:smooth val="0"/>
        </c:ser>
        <c:ser>
          <c:idx val="4"/>
          <c:order val="4"/>
          <c:tx>
            <c:strRef>
              <c:f>Data!$AI$6</c:f>
              <c:strCache>
                <c:ptCount val="1"/>
                <c:pt idx="0">
                  <c:v>Central African Republic</c:v>
                </c:pt>
              </c:strCache>
            </c:strRef>
          </c:tx>
          <c:spPr>
            <a:ln cmpd="sng">
              <a:solidFill>
                <a:srgbClr val="4BACC6"/>
              </a:solidFill>
            </a:ln>
          </c:spPr>
          <c:marker>
            <c:symbol val="none"/>
          </c:marker>
          <c:cat>
            <c:strRef>
              <c:f>Data!$AJ$1:$BL$1</c:f>
              <c:strCach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strCache>
            </c:strRef>
          </c:cat>
          <c:val>
            <c:numRef>
              <c:f>Data!$AJ$6:$BL$6</c:f>
              <c:numCache>
                <c:formatCode>General</c:formatCode>
                <c:ptCount val="29"/>
                <c:pt idx="0">
                  <c:v>37.245176399999998</c:v>
                </c:pt>
                <c:pt idx="1">
                  <c:v>37.197020799999997</c:v>
                </c:pt>
                <c:pt idx="2">
                  <c:v>37.148865100000002</c:v>
                </c:pt>
                <c:pt idx="3">
                  <c:v>37.100709500000001</c:v>
                </c:pt>
                <c:pt idx="4">
                  <c:v>37.052553899999999</c:v>
                </c:pt>
                <c:pt idx="5">
                  <c:v>37.004398199999997</c:v>
                </c:pt>
                <c:pt idx="6">
                  <c:v>36.956242600000003</c:v>
                </c:pt>
                <c:pt idx="7">
                  <c:v>36.908086900000001</c:v>
                </c:pt>
                <c:pt idx="8">
                  <c:v>36.8599313</c:v>
                </c:pt>
                <c:pt idx="9">
                  <c:v>36.811775699999998</c:v>
                </c:pt>
                <c:pt idx="10">
                  <c:v>36.763620000000003</c:v>
                </c:pt>
                <c:pt idx="11">
                  <c:v>36.715464400000002</c:v>
                </c:pt>
                <c:pt idx="12">
                  <c:v>36.6673087</c:v>
                </c:pt>
                <c:pt idx="13">
                  <c:v>36.619153099999998</c:v>
                </c:pt>
                <c:pt idx="14">
                  <c:v>36.570997499999997</c:v>
                </c:pt>
                <c:pt idx="15">
                  <c:v>36.522841800000002</c:v>
                </c:pt>
                <c:pt idx="16">
                  <c:v>36.474686200000001</c:v>
                </c:pt>
                <c:pt idx="17">
                  <c:v>36.426530499999998</c:v>
                </c:pt>
                <c:pt idx="18">
                  <c:v>36.378374899999997</c:v>
                </c:pt>
                <c:pt idx="19">
                  <c:v>36.330219300000003</c:v>
                </c:pt>
                <c:pt idx="20">
                  <c:v>36.282063600000001</c:v>
                </c:pt>
                <c:pt idx="21">
                  <c:v>36.233908</c:v>
                </c:pt>
                <c:pt idx="22">
                  <c:v>36.185752399999998</c:v>
                </c:pt>
                <c:pt idx="23">
                  <c:v>36.137596700000003</c:v>
                </c:pt>
                <c:pt idx="24">
                  <c:v>36.089441100000002</c:v>
                </c:pt>
                <c:pt idx="25">
                  <c:v>36.0412854</c:v>
                </c:pt>
                <c:pt idx="26">
                  <c:v>35.993129799999998</c:v>
                </c:pt>
                <c:pt idx="27">
                  <c:v>35.944974199999997</c:v>
                </c:pt>
                <c:pt idx="28">
                  <c:v>35.896818500000002</c:v>
                </c:pt>
              </c:numCache>
            </c:numRef>
          </c:val>
          <c:smooth val="0"/>
        </c:ser>
        <c:dLbls>
          <c:showLegendKey val="0"/>
          <c:showVal val="0"/>
          <c:showCatName val="0"/>
          <c:showSerName val="0"/>
          <c:showPercent val="0"/>
          <c:showBubbleSize val="0"/>
        </c:dLbls>
        <c:marker val="1"/>
        <c:smooth val="0"/>
        <c:axId val="299481728"/>
        <c:axId val="299488000"/>
      </c:lineChart>
      <c:catAx>
        <c:axId val="299481728"/>
        <c:scaling>
          <c:orientation val="minMax"/>
        </c:scaling>
        <c:delete val="0"/>
        <c:axPos val="b"/>
        <c:title>
          <c:tx>
            <c:rich>
              <a:bodyPr/>
              <a:lstStyle/>
              <a:p>
                <a:pPr lvl="0">
                  <a:defRPr b="0">
                    <a:solidFill>
                      <a:srgbClr val="000000"/>
                    </a:solidFill>
                    <a:latin typeface="+mn-lt"/>
                  </a:defRPr>
                </a:pPr>
                <a:endParaRPr lang="fr-FR"/>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fr-FR"/>
          </a:p>
        </c:txPr>
        <c:crossAx val="299488000"/>
        <c:crosses val="autoZero"/>
        <c:auto val="1"/>
        <c:lblAlgn val="ctr"/>
        <c:lblOffset val="100"/>
        <c:noMultiLvlLbl val="1"/>
      </c:catAx>
      <c:valAx>
        <c:axId val="2994880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fr-FR"/>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fr-FR"/>
          </a:p>
        </c:txPr>
        <c:crossAx val="299481728"/>
        <c:crosses val="autoZero"/>
        <c:crossBetween val="between"/>
      </c:valAx>
    </c:plotArea>
    <c:legend>
      <c:legendPos val="r"/>
      <c:layout/>
      <c:overlay val="0"/>
      <c:txPr>
        <a:bodyPr/>
        <a:lstStyle/>
        <a:p>
          <a:pPr lvl="0">
            <a:defRPr b="0">
              <a:solidFill>
                <a:srgbClr val="1A1A1A"/>
              </a:solidFill>
              <a:latin typeface="+mn-lt"/>
            </a:defRPr>
          </a:pPr>
          <a:endParaRPr lang="fr-FR"/>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1"/>
  <c:style val="2"/>
  <c:chart>
    <c:title>
      <c:tx>
        <c:rich>
          <a:bodyPr/>
          <a:lstStyle/>
          <a:p>
            <a:pPr lvl="0">
              <a:defRPr b="0">
                <a:solidFill>
                  <a:srgbClr val="757575"/>
                </a:solidFill>
                <a:latin typeface="+mn-lt"/>
              </a:defRPr>
            </a:pPr>
            <a:r>
              <a:rPr lang="fr-FR" b="0">
                <a:solidFill>
                  <a:srgbClr val="757575"/>
                </a:solidFill>
                <a:latin typeface="+mn-lt"/>
              </a:rPr>
              <a:t>AG.LND.FRST.ZS par rapport à Indicator Code</a:t>
            </a:r>
          </a:p>
        </c:rich>
      </c:tx>
      <c:layout/>
      <c:overlay val="0"/>
    </c:title>
    <c:autoTitleDeleted val="0"/>
    <c:plotArea>
      <c:layout/>
      <c:barChart>
        <c:barDir val="col"/>
        <c:grouping val="clustered"/>
        <c:varyColors val="1"/>
        <c:ser>
          <c:idx val="0"/>
          <c:order val="0"/>
          <c:spPr>
            <a:solidFill>
              <a:srgbClr val="4F81BD"/>
            </a:solidFill>
            <a:ln cmpd="sng">
              <a:solidFill>
                <a:srgbClr val="000000"/>
              </a:solidFill>
            </a:ln>
          </c:spPr>
          <c:invertIfNegative val="1"/>
          <c:cat>
            <c:numRef>
              <c:f>Service!$E$25:$AI$25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Service!$E$26:$AI$26</c:f>
              <c:numCache>
                <c:formatCode>General</c:formatCode>
                <c:ptCount val="31"/>
                <c:pt idx="0">
                  <c:v>32.553067599999999</c:v>
                </c:pt>
                <c:pt idx="1">
                  <c:v>32.344326199999998</c:v>
                </c:pt>
                <c:pt idx="2">
                  <c:v>32.135584799999997</c:v>
                </c:pt>
                <c:pt idx="3">
                  <c:v>31.9268435</c:v>
                </c:pt>
                <c:pt idx="4">
                  <c:v>31.718102099999999</c:v>
                </c:pt>
                <c:pt idx="5">
                  <c:v>31.509360699999998</c:v>
                </c:pt>
                <c:pt idx="6">
                  <c:v>31.300619300000001</c:v>
                </c:pt>
                <c:pt idx="7">
                  <c:v>31.091878000000001</c:v>
                </c:pt>
                <c:pt idx="8">
                  <c:v>30.8831366</c:v>
                </c:pt>
                <c:pt idx="9">
                  <c:v>30.674395199999999</c:v>
                </c:pt>
                <c:pt idx="10">
                  <c:v>30.465653799999998</c:v>
                </c:pt>
                <c:pt idx="11">
                  <c:v>30.256912499999999</c:v>
                </c:pt>
                <c:pt idx="12">
                  <c:v>30.048171100000001</c:v>
                </c:pt>
                <c:pt idx="13">
                  <c:v>29.8394297</c:v>
                </c:pt>
                <c:pt idx="14">
                  <c:v>29.630688299999999</c:v>
                </c:pt>
                <c:pt idx="15">
                  <c:v>29.421946999999999</c:v>
                </c:pt>
                <c:pt idx="16">
                  <c:v>29.213205599999998</c:v>
                </c:pt>
                <c:pt idx="17">
                  <c:v>29.004464200000001</c:v>
                </c:pt>
                <c:pt idx="18">
                  <c:v>28.7957228</c:v>
                </c:pt>
                <c:pt idx="19">
                  <c:v>28.5869815</c:v>
                </c:pt>
                <c:pt idx="20">
                  <c:v>28.378240099999999</c:v>
                </c:pt>
                <c:pt idx="21">
                  <c:v>28.169498699999998</c:v>
                </c:pt>
                <c:pt idx="22">
                  <c:v>27.960757300000001</c:v>
                </c:pt>
                <c:pt idx="23">
                  <c:v>27.752016000000001</c:v>
                </c:pt>
                <c:pt idx="24">
                  <c:v>27.5432746</c:v>
                </c:pt>
                <c:pt idx="25">
                  <c:v>27.334533199999999</c:v>
                </c:pt>
                <c:pt idx="26">
                  <c:v>27.125791799999998</c:v>
                </c:pt>
                <c:pt idx="27">
                  <c:v>26.917050400000001</c:v>
                </c:pt>
                <c:pt idx="28">
                  <c:v>6.2622412999999897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300354560"/>
        <c:axId val="300377216"/>
      </c:barChart>
      <c:catAx>
        <c:axId val="300354560"/>
        <c:scaling>
          <c:orientation val="minMax"/>
        </c:scaling>
        <c:delete val="0"/>
        <c:axPos val="b"/>
        <c:title>
          <c:tx>
            <c:rich>
              <a:bodyPr/>
              <a:lstStyle/>
              <a:p>
                <a:pPr lvl="0">
                  <a:defRPr b="0">
                    <a:solidFill>
                      <a:srgbClr val="000000"/>
                    </a:solidFill>
                    <a:latin typeface="+mn-lt"/>
                  </a:defRPr>
                </a:pPr>
                <a:r>
                  <a:rPr lang="fr-FR" b="0">
                    <a:solidFill>
                      <a:srgbClr val="000000"/>
                    </a:solidFill>
                    <a:latin typeface="+mn-lt"/>
                  </a:rPr>
                  <a:t>Indicator Code</a:t>
                </a:r>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fr-FR"/>
          </a:p>
        </c:txPr>
        <c:crossAx val="300377216"/>
        <c:crosses val="autoZero"/>
        <c:auto val="1"/>
        <c:lblAlgn val="ctr"/>
        <c:lblOffset val="100"/>
        <c:noMultiLvlLbl val="1"/>
      </c:catAx>
      <c:valAx>
        <c:axId val="3003772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fr-FR" b="0">
                    <a:solidFill>
                      <a:srgbClr val="000000"/>
                    </a:solidFill>
                    <a:latin typeface="+mn-lt"/>
                  </a:rPr>
                  <a:t>AG.LND.FRST.ZS</a:t>
                </a:r>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fr-FR"/>
          </a:p>
        </c:txPr>
        <c:crossAx val="300354560"/>
        <c:crosses val="autoZero"/>
        <c:crossBetween val="between"/>
      </c:valAx>
    </c:plotArea>
    <c:legend>
      <c:legendPos val="r"/>
      <c:layout/>
      <c:overlay val="0"/>
      <c:txPr>
        <a:bodyPr/>
        <a:lstStyle/>
        <a:p>
          <a:pPr lvl="0">
            <a:defRPr b="0">
              <a:solidFill>
                <a:srgbClr val="1A1A1A"/>
              </a:solidFill>
              <a:latin typeface="+mn-lt"/>
            </a:defRPr>
          </a:pPr>
          <a:endParaRPr lang="fr-FR"/>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1"/>
  <c:style val="2"/>
  <c:chart>
    <c:autoTitleDeleted val="1"/>
    <c:plotArea>
      <c:layout/>
      <c:barChart>
        <c:barDir val="col"/>
        <c:grouping val="clustered"/>
        <c:varyColors val="1"/>
        <c:ser>
          <c:idx val="0"/>
          <c:order val="0"/>
          <c:tx>
            <c:strRef>
              <c:f>Data!$AJ$1</c:f>
              <c:strCache>
                <c:ptCount val="1"/>
                <c:pt idx="0">
                  <c:v>1990</c:v>
                </c:pt>
              </c:strCache>
            </c:strRef>
          </c:tx>
          <c:spPr>
            <a:solidFill>
              <a:srgbClr val="4F81BD"/>
            </a:solidFill>
            <a:ln cmpd="sng">
              <a:solidFill>
                <a:srgbClr val="000000"/>
              </a:solidFill>
            </a:ln>
          </c:spPr>
          <c:invertIfNegative val="1"/>
          <c:cat>
            <c:strRef>
              <c:f>Data!$AI$2:$AI$5</c:f>
              <c:strCache>
                <c:ptCount val="4"/>
                <c:pt idx="0">
                  <c:v>Benin</c:v>
                </c:pt>
                <c:pt idx="1">
                  <c:v>Brazil</c:v>
                </c:pt>
                <c:pt idx="2">
                  <c:v>Africa Eastern and Southern</c:v>
                </c:pt>
                <c:pt idx="3">
                  <c:v>Angola</c:v>
                </c:pt>
              </c:strCache>
            </c:strRef>
          </c:cat>
          <c:val>
            <c:numRef>
              <c:f>Data!$AJ$2:$AJ$5</c:f>
              <c:numCache>
                <c:formatCode>General</c:formatCode>
                <c:ptCount val="4"/>
                <c:pt idx="0">
                  <c:v>42.880010599999999</c:v>
                </c:pt>
                <c:pt idx="1">
                  <c:v>70.458020599999998</c:v>
                </c:pt>
                <c:pt idx="2">
                  <c:v>40.565911999999997</c:v>
                </c:pt>
                <c:pt idx="3">
                  <c:v>63.578070099999998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strRef>
              <c:f>Data!$AK$1</c:f>
              <c:strCache>
                <c:ptCount val="1"/>
                <c:pt idx="0">
                  <c:v>1991</c:v>
                </c:pt>
              </c:strCache>
            </c:strRef>
          </c:tx>
          <c:spPr>
            <a:solidFill>
              <a:srgbClr val="C0504D"/>
            </a:solidFill>
            <a:ln cmpd="sng">
              <a:solidFill>
                <a:srgbClr val="000000"/>
              </a:solidFill>
            </a:ln>
          </c:spPr>
          <c:invertIfNegative val="1"/>
          <c:cat>
            <c:strRef>
              <c:f>Data!$AI$2:$AI$5</c:f>
              <c:strCache>
                <c:ptCount val="4"/>
                <c:pt idx="0">
                  <c:v>Benin</c:v>
                </c:pt>
                <c:pt idx="1">
                  <c:v>Brazil</c:v>
                </c:pt>
                <c:pt idx="2">
                  <c:v>Africa Eastern and Southern</c:v>
                </c:pt>
                <c:pt idx="3">
                  <c:v>Angola</c:v>
                </c:pt>
              </c:strCache>
            </c:strRef>
          </c:cat>
          <c:val>
            <c:numRef>
              <c:f>Data!$AK$2:$AK$5</c:f>
              <c:numCache>
                <c:formatCode>General</c:formatCode>
                <c:ptCount val="4"/>
                <c:pt idx="0">
                  <c:v>42.2592231</c:v>
                </c:pt>
                <c:pt idx="1">
                  <c:v>70.005654399999997</c:v>
                </c:pt>
                <c:pt idx="2">
                  <c:v>40.403946400000002</c:v>
                </c:pt>
                <c:pt idx="3">
                  <c:v>63.453407400000003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2"/>
          <c:order val="2"/>
          <c:tx>
            <c:strRef>
              <c:f>Data!$AL$1</c:f>
              <c:strCache>
                <c:ptCount val="1"/>
                <c:pt idx="0">
                  <c:v>1992</c:v>
                </c:pt>
              </c:strCache>
            </c:strRef>
          </c:tx>
          <c:spPr>
            <a:solidFill>
              <a:srgbClr val="9BBB59"/>
            </a:solidFill>
            <a:ln cmpd="sng">
              <a:solidFill>
                <a:srgbClr val="000000"/>
              </a:solidFill>
            </a:ln>
          </c:spPr>
          <c:invertIfNegative val="1"/>
          <c:cat>
            <c:strRef>
              <c:f>Data!$AI$2:$AI$5</c:f>
              <c:strCache>
                <c:ptCount val="4"/>
                <c:pt idx="0">
                  <c:v>Benin</c:v>
                </c:pt>
                <c:pt idx="1">
                  <c:v>Brazil</c:v>
                </c:pt>
                <c:pt idx="2">
                  <c:v>Africa Eastern and Southern</c:v>
                </c:pt>
                <c:pt idx="3">
                  <c:v>Angola</c:v>
                </c:pt>
              </c:strCache>
            </c:strRef>
          </c:cat>
          <c:val>
            <c:numRef>
              <c:f>Data!$AL$2:$AL$5</c:f>
              <c:numCache>
                <c:formatCode>General</c:formatCode>
                <c:ptCount val="4"/>
                <c:pt idx="0">
                  <c:v>41.638435600000001</c:v>
                </c:pt>
                <c:pt idx="1">
                  <c:v>69.553288199999997</c:v>
                </c:pt>
                <c:pt idx="2">
                  <c:v>40.235806699999998</c:v>
                </c:pt>
                <c:pt idx="3">
                  <c:v>63.328744700000001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3"/>
          <c:order val="3"/>
          <c:tx>
            <c:strRef>
              <c:f>Data!$AM$1</c:f>
              <c:strCache>
                <c:ptCount val="1"/>
                <c:pt idx="0">
                  <c:v>1993</c:v>
                </c:pt>
              </c:strCache>
            </c:strRef>
          </c:tx>
          <c:spPr>
            <a:solidFill>
              <a:srgbClr val="8064A2"/>
            </a:solidFill>
            <a:ln cmpd="sng">
              <a:solidFill>
                <a:srgbClr val="000000"/>
              </a:solidFill>
            </a:ln>
          </c:spPr>
          <c:invertIfNegative val="1"/>
          <c:cat>
            <c:strRef>
              <c:f>Data!$AI$2:$AI$5</c:f>
              <c:strCache>
                <c:ptCount val="4"/>
                <c:pt idx="0">
                  <c:v>Benin</c:v>
                </c:pt>
                <c:pt idx="1">
                  <c:v>Brazil</c:v>
                </c:pt>
                <c:pt idx="2">
                  <c:v>Africa Eastern and Southern</c:v>
                </c:pt>
                <c:pt idx="3">
                  <c:v>Angola</c:v>
                </c:pt>
              </c:strCache>
            </c:strRef>
          </c:cat>
          <c:val>
            <c:numRef>
              <c:f>Data!$AM$2:$AM$5</c:f>
              <c:numCache>
                <c:formatCode>General</c:formatCode>
                <c:ptCount val="4"/>
                <c:pt idx="0">
                  <c:v>41.017648100000002</c:v>
                </c:pt>
                <c:pt idx="1">
                  <c:v>69.100921999999997</c:v>
                </c:pt>
                <c:pt idx="2">
                  <c:v>40.269689999999997</c:v>
                </c:pt>
                <c:pt idx="3">
                  <c:v>63.204082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4"/>
          <c:order val="4"/>
          <c:tx>
            <c:strRef>
              <c:f>Data!$AN$1</c:f>
              <c:strCache>
                <c:ptCount val="1"/>
                <c:pt idx="0">
                  <c:v>1994</c:v>
                </c:pt>
              </c:strCache>
            </c:strRef>
          </c:tx>
          <c:spPr>
            <a:solidFill>
              <a:srgbClr val="4BACC6"/>
            </a:solidFill>
            <a:ln cmpd="sng">
              <a:solidFill>
                <a:srgbClr val="000000"/>
              </a:solidFill>
            </a:ln>
          </c:spPr>
          <c:invertIfNegative val="1"/>
          <c:cat>
            <c:strRef>
              <c:f>Data!$AI$2:$AI$5</c:f>
              <c:strCache>
                <c:ptCount val="4"/>
                <c:pt idx="0">
                  <c:v>Benin</c:v>
                </c:pt>
                <c:pt idx="1">
                  <c:v>Brazil</c:v>
                </c:pt>
                <c:pt idx="2">
                  <c:v>Africa Eastern and Southern</c:v>
                </c:pt>
                <c:pt idx="3">
                  <c:v>Angola</c:v>
                </c:pt>
              </c:strCache>
            </c:strRef>
          </c:cat>
          <c:val>
            <c:numRef>
              <c:f>Data!$AN$2:$AN$5</c:f>
              <c:numCache>
                <c:formatCode>General</c:formatCode>
                <c:ptCount val="4"/>
                <c:pt idx="0">
                  <c:v>40.396860599999997</c:v>
                </c:pt>
                <c:pt idx="1">
                  <c:v>68.648555799999997</c:v>
                </c:pt>
                <c:pt idx="2">
                  <c:v>40.1032704</c:v>
                </c:pt>
                <c:pt idx="3">
                  <c:v>63.079419299999998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5"/>
          <c:order val="5"/>
          <c:tx>
            <c:strRef>
              <c:f>Data!$AO$1</c:f>
              <c:strCache>
                <c:ptCount val="1"/>
                <c:pt idx="0">
                  <c:v>1995</c:v>
                </c:pt>
              </c:strCache>
            </c:strRef>
          </c:tx>
          <c:spPr>
            <a:solidFill>
              <a:srgbClr val="F79646"/>
            </a:solidFill>
            <a:ln cmpd="sng">
              <a:solidFill>
                <a:srgbClr val="000000"/>
              </a:solidFill>
            </a:ln>
          </c:spPr>
          <c:invertIfNegative val="1"/>
          <c:cat>
            <c:strRef>
              <c:f>Data!$AI$2:$AI$5</c:f>
              <c:strCache>
                <c:ptCount val="4"/>
                <c:pt idx="0">
                  <c:v>Benin</c:v>
                </c:pt>
                <c:pt idx="1">
                  <c:v>Brazil</c:v>
                </c:pt>
                <c:pt idx="2">
                  <c:v>Africa Eastern and Southern</c:v>
                </c:pt>
                <c:pt idx="3">
                  <c:v>Angola</c:v>
                </c:pt>
              </c:strCache>
            </c:strRef>
          </c:cat>
          <c:val>
            <c:numRef>
              <c:f>Data!$AO$2:$AO$5</c:f>
              <c:numCache>
                <c:formatCode>General</c:formatCode>
                <c:ptCount val="4"/>
                <c:pt idx="0">
                  <c:v>39.776073099999998</c:v>
                </c:pt>
                <c:pt idx="1">
                  <c:v>68.196189599999997</c:v>
                </c:pt>
                <c:pt idx="2">
                  <c:v>39.936850800000002</c:v>
                </c:pt>
                <c:pt idx="3">
                  <c:v>62.954756600000003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6"/>
          <c:order val="6"/>
          <c:tx>
            <c:strRef>
              <c:f>Data!$AP$1</c:f>
              <c:strCache>
                <c:ptCount val="1"/>
                <c:pt idx="0">
                  <c:v>1996</c:v>
                </c:pt>
              </c:strCache>
            </c:strRef>
          </c:tx>
          <c:spPr>
            <a:solidFill>
              <a:srgbClr val="BED1E7"/>
            </a:solidFill>
            <a:ln cmpd="sng">
              <a:solidFill>
                <a:srgbClr val="000000"/>
              </a:solidFill>
            </a:ln>
          </c:spPr>
          <c:invertIfNegative val="1"/>
          <c:cat>
            <c:strRef>
              <c:f>Data!$AI$2:$AI$5</c:f>
              <c:strCache>
                <c:ptCount val="4"/>
                <c:pt idx="0">
                  <c:v>Benin</c:v>
                </c:pt>
                <c:pt idx="1">
                  <c:v>Brazil</c:v>
                </c:pt>
                <c:pt idx="2">
                  <c:v>Africa Eastern and Southern</c:v>
                </c:pt>
                <c:pt idx="3">
                  <c:v>Angola</c:v>
                </c:pt>
              </c:strCache>
            </c:strRef>
          </c:cat>
          <c:val>
            <c:numRef>
              <c:f>Data!$AP$2:$AP$5</c:f>
              <c:numCache>
                <c:formatCode>General</c:formatCode>
                <c:ptCount val="4"/>
                <c:pt idx="0">
                  <c:v>39.155285599999999</c:v>
                </c:pt>
                <c:pt idx="1">
                  <c:v>67.743823399999997</c:v>
                </c:pt>
                <c:pt idx="2">
                  <c:v>39.770431199999997</c:v>
                </c:pt>
                <c:pt idx="3">
                  <c:v>62.8300938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7"/>
          <c:order val="7"/>
          <c:tx>
            <c:strRef>
              <c:f>Data!$AQ$1</c:f>
              <c:strCache>
                <c:ptCount val="1"/>
                <c:pt idx="0">
                  <c:v>1997</c:v>
                </c:pt>
              </c:strCache>
            </c:strRef>
          </c:tx>
          <c:spPr>
            <a:solidFill>
              <a:srgbClr val="E8BFBE"/>
            </a:solidFill>
            <a:ln cmpd="sng">
              <a:solidFill>
                <a:srgbClr val="000000"/>
              </a:solidFill>
            </a:ln>
          </c:spPr>
          <c:invertIfNegative val="1"/>
          <c:cat>
            <c:strRef>
              <c:f>Data!$AI$2:$AI$5</c:f>
              <c:strCache>
                <c:ptCount val="4"/>
                <c:pt idx="0">
                  <c:v>Benin</c:v>
                </c:pt>
                <c:pt idx="1">
                  <c:v>Brazil</c:v>
                </c:pt>
                <c:pt idx="2">
                  <c:v>Africa Eastern and Southern</c:v>
                </c:pt>
                <c:pt idx="3">
                  <c:v>Angola</c:v>
                </c:pt>
              </c:strCache>
            </c:strRef>
          </c:cat>
          <c:val>
            <c:numRef>
              <c:f>Data!$AQ$2:$AQ$5</c:f>
              <c:numCache>
                <c:formatCode>General</c:formatCode>
                <c:ptCount val="4"/>
                <c:pt idx="0">
                  <c:v>38.534497999999999</c:v>
                </c:pt>
                <c:pt idx="1">
                  <c:v>67.291457199999996</c:v>
                </c:pt>
                <c:pt idx="2">
                  <c:v>39.6040116</c:v>
                </c:pt>
                <c:pt idx="3">
                  <c:v>62.705431099999998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8"/>
          <c:order val="8"/>
          <c:tx>
            <c:strRef>
              <c:f>Data!$AR$1</c:f>
              <c:strCache>
                <c:ptCount val="1"/>
                <c:pt idx="0">
                  <c:v>1998</c:v>
                </c:pt>
              </c:strCache>
            </c:strRef>
          </c:tx>
          <c:spPr>
            <a:solidFill>
              <a:srgbClr val="DCE7C6"/>
            </a:solidFill>
            <a:ln cmpd="sng">
              <a:solidFill>
                <a:srgbClr val="000000"/>
              </a:solidFill>
            </a:ln>
          </c:spPr>
          <c:invertIfNegative val="1"/>
          <c:cat>
            <c:strRef>
              <c:f>Data!$AI$2:$AI$5</c:f>
              <c:strCache>
                <c:ptCount val="4"/>
                <c:pt idx="0">
                  <c:v>Benin</c:v>
                </c:pt>
                <c:pt idx="1">
                  <c:v>Brazil</c:v>
                </c:pt>
                <c:pt idx="2">
                  <c:v>Africa Eastern and Southern</c:v>
                </c:pt>
                <c:pt idx="3">
                  <c:v>Angola</c:v>
                </c:pt>
              </c:strCache>
            </c:strRef>
          </c:cat>
          <c:val>
            <c:numRef>
              <c:f>Data!$AR$2:$AR$5</c:f>
              <c:numCache>
                <c:formatCode>General</c:formatCode>
                <c:ptCount val="4"/>
                <c:pt idx="0">
                  <c:v>37.913710500000001</c:v>
                </c:pt>
                <c:pt idx="1">
                  <c:v>66.839090999999996</c:v>
                </c:pt>
                <c:pt idx="2">
                  <c:v>39.437592000000002</c:v>
                </c:pt>
                <c:pt idx="3">
                  <c:v>62.580768399999997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9"/>
          <c:order val="9"/>
          <c:tx>
            <c:strRef>
              <c:f>Data!$AS$1</c:f>
              <c:strCache>
                <c:ptCount val="1"/>
                <c:pt idx="0">
                  <c:v>1999</c:v>
                </c:pt>
              </c:strCache>
            </c:strRef>
          </c:tx>
          <c:spPr>
            <a:solidFill>
              <a:srgbClr val="CEC4DB"/>
            </a:solidFill>
            <a:ln cmpd="sng">
              <a:solidFill>
                <a:srgbClr val="000000"/>
              </a:solidFill>
            </a:ln>
          </c:spPr>
          <c:invertIfNegative val="1"/>
          <c:cat>
            <c:strRef>
              <c:f>Data!$AI$2:$AI$5</c:f>
              <c:strCache>
                <c:ptCount val="4"/>
                <c:pt idx="0">
                  <c:v>Benin</c:v>
                </c:pt>
                <c:pt idx="1">
                  <c:v>Brazil</c:v>
                </c:pt>
                <c:pt idx="2">
                  <c:v>Africa Eastern and Southern</c:v>
                </c:pt>
                <c:pt idx="3">
                  <c:v>Angola</c:v>
                </c:pt>
              </c:strCache>
            </c:strRef>
          </c:cat>
          <c:val>
            <c:numRef>
              <c:f>Data!$AS$2:$AS$5</c:f>
              <c:numCache>
                <c:formatCode>General</c:formatCode>
                <c:ptCount val="4"/>
                <c:pt idx="0">
                  <c:v>37.292923000000002</c:v>
                </c:pt>
                <c:pt idx="1">
                  <c:v>66.386724799999996</c:v>
                </c:pt>
                <c:pt idx="2">
                  <c:v>39.271172399999998</c:v>
                </c:pt>
                <c:pt idx="3">
                  <c:v>62.456105700000002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0"/>
          <c:order val="10"/>
          <c:tx>
            <c:strRef>
              <c:f>Data!$AT$1</c:f>
              <c:strCache>
                <c:ptCount val="1"/>
                <c:pt idx="0">
                  <c:v>2000</c:v>
                </c:pt>
              </c:strCache>
            </c:strRef>
          </c:tx>
          <c:spPr>
            <a:solidFill>
              <a:srgbClr val="BFE2EB"/>
            </a:solidFill>
            <a:ln cmpd="sng">
              <a:solidFill>
                <a:srgbClr val="000000"/>
              </a:solidFill>
            </a:ln>
          </c:spPr>
          <c:invertIfNegative val="1"/>
          <c:cat>
            <c:strRef>
              <c:f>Data!$AI$2:$AI$5</c:f>
              <c:strCache>
                <c:ptCount val="4"/>
                <c:pt idx="0">
                  <c:v>Benin</c:v>
                </c:pt>
                <c:pt idx="1">
                  <c:v>Brazil</c:v>
                </c:pt>
                <c:pt idx="2">
                  <c:v>Africa Eastern and Southern</c:v>
                </c:pt>
                <c:pt idx="3">
                  <c:v>Angola</c:v>
                </c:pt>
              </c:strCache>
            </c:strRef>
          </c:cat>
          <c:val>
            <c:numRef>
              <c:f>Data!$AT$2:$AT$5</c:f>
              <c:numCache>
                <c:formatCode>General</c:formatCode>
                <c:ptCount val="4"/>
                <c:pt idx="0">
                  <c:v>36.672135500000003</c:v>
                </c:pt>
                <c:pt idx="1">
                  <c:v>65.934358599999996</c:v>
                </c:pt>
                <c:pt idx="2">
                  <c:v>33.980631500000001</c:v>
                </c:pt>
                <c:pt idx="3">
                  <c:v>62.331443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1"/>
          <c:order val="11"/>
          <c:tx>
            <c:strRef>
              <c:f>Data!$AU$1</c:f>
              <c:strCache>
                <c:ptCount val="1"/>
                <c:pt idx="0">
                  <c:v>2001</c:v>
                </c:pt>
              </c:strCache>
            </c:strRef>
          </c:tx>
          <c:spPr>
            <a:solidFill>
              <a:srgbClr val="FDE9D9"/>
            </a:solidFill>
            <a:ln cmpd="sng">
              <a:solidFill>
                <a:srgbClr val="000000"/>
              </a:solidFill>
            </a:ln>
          </c:spPr>
          <c:invertIfNegative val="1"/>
          <c:cat>
            <c:strRef>
              <c:f>Data!$AI$2:$AI$5</c:f>
              <c:strCache>
                <c:ptCount val="4"/>
                <c:pt idx="0">
                  <c:v>Benin</c:v>
                </c:pt>
                <c:pt idx="1">
                  <c:v>Brazil</c:v>
                </c:pt>
                <c:pt idx="2">
                  <c:v>Africa Eastern and Southern</c:v>
                </c:pt>
                <c:pt idx="3">
                  <c:v>Angola</c:v>
                </c:pt>
              </c:strCache>
            </c:strRef>
          </c:cat>
          <c:val>
            <c:numRef>
              <c:f>Data!$AU$2:$AU$5</c:f>
              <c:numCache>
                <c:formatCode>General</c:formatCode>
                <c:ptCount val="4"/>
                <c:pt idx="0">
                  <c:v>36.228715899999997</c:v>
                </c:pt>
                <c:pt idx="1">
                  <c:v>65.461670900000001</c:v>
                </c:pt>
                <c:pt idx="2">
                  <c:v>38.903980099999998</c:v>
                </c:pt>
                <c:pt idx="3">
                  <c:v>61.886218800000002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2"/>
          <c:order val="12"/>
          <c:tx>
            <c:strRef>
              <c:f>Data!$AV$1</c:f>
              <c:strCache>
                <c:ptCount val="1"/>
                <c:pt idx="0">
                  <c:v>2002</c:v>
                </c:pt>
              </c:strCache>
            </c:strRef>
          </c:tx>
          <c:spPr>
            <a:solidFill>
              <a:srgbClr val="FFFFFF"/>
            </a:solidFill>
            <a:ln cmpd="sng">
              <a:solidFill>
                <a:srgbClr val="000000"/>
              </a:solidFill>
            </a:ln>
          </c:spPr>
          <c:invertIfNegative val="1"/>
          <c:cat>
            <c:strRef>
              <c:f>Data!$AI$2:$AI$5</c:f>
              <c:strCache>
                <c:ptCount val="4"/>
                <c:pt idx="0">
                  <c:v>Benin</c:v>
                </c:pt>
                <c:pt idx="1">
                  <c:v>Brazil</c:v>
                </c:pt>
                <c:pt idx="2">
                  <c:v>Africa Eastern and Southern</c:v>
                </c:pt>
                <c:pt idx="3">
                  <c:v>Angola</c:v>
                </c:pt>
              </c:strCache>
            </c:strRef>
          </c:cat>
          <c:val>
            <c:numRef>
              <c:f>Data!$AV$2:$AV$5</c:f>
              <c:numCache>
                <c:formatCode>General</c:formatCode>
                <c:ptCount val="4"/>
                <c:pt idx="0">
                  <c:v>35.785296199999998</c:v>
                </c:pt>
                <c:pt idx="1">
                  <c:v>64.988983200000007</c:v>
                </c:pt>
                <c:pt idx="2">
                  <c:v>38.703207300000003</c:v>
                </c:pt>
                <c:pt idx="3">
                  <c:v>61.440994600000003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3"/>
          <c:order val="13"/>
          <c:tx>
            <c:strRef>
              <c:f>Data!$AW$1</c:f>
              <c:strCache>
                <c:ptCount val="1"/>
                <c:pt idx="0">
                  <c:v>2003</c:v>
                </c:pt>
              </c:strCache>
            </c:strRef>
          </c:tx>
          <c:spPr>
            <a:solidFill>
              <a:srgbClr val="FFFFFF"/>
            </a:solidFill>
            <a:ln cmpd="sng">
              <a:solidFill>
                <a:srgbClr val="000000"/>
              </a:solidFill>
            </a:ln>
          </c:spPr>
          <c:invertIfNegative val="1"/>
          <c:cat>
            <c:strRef>
              <c:f>Data!$AI$2:$AI$5</c:f>
              <c:strCache>
                <c:ptCount val="4"/>
                <c:pt idx="0">
                  <c:v>Benin</c:v>
                </c:pt>
                <c:pt idx="1">
                  <c:v>Brazil</c:v>
                </c:pt>
                <c:pt idx="2">
                  <c:v>Africa Eastern and Southern</c:v>
                </c:pt>
                <c:pt idx="3">
                  <c:v>Angola</c:v>
                </c:pt>
              </c:strCache>
            </c:strRef>
          </c:cat>
          <c:val>
            <c:numRef>
              <c:f>Data!$AW$2:$AW$5</c:f>
              <c:numCache>
                <c:formatCode>General</c:formatCode>
                <c:ptCount val="4"/>
                <c:pt idx="0">
                  <c:v>35.341876599999999</c:v>
                </c:pt>
                <c:pt idx="1">
                  <c:v>64.516295499999998</c:v>
                </c:pt>
                <c:pt idx="2">
                  <c:v>38.502434600000001</c:v>
                </c:pt>
                <c:pt idx="3">
                  <c:v>60.995770399999998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4"/>
          <c:order val="14"/>
          <c:tx>
            <c:strRef>
              <c:f>Data!$AX$1</c:f>
              <c:strCache>
                <c:ptCount val="1"/>
                <c:pt idx="0">
                  <c:v>2004</c:v>
                </c:pt>
              </c:strCache>
            </c:strRef>
          </c:tx>
          <c:spPr>
            <a:solidFill>
              <a:srgbClr val="FFFFFF"/>
            </a:solidFill>
            <a:ln cmpd="sng">
              <a:solidFill>
                <a:srgbClr val="000000"/>
              </a:solidFill>
            </a:ln>
          </c:spPr>
          <c:invertIfNegative val="1"/>
          <c:cat>
            <c:strRef>
              <c:f>Data!$AI$2:$AI$5</c:f>
              <c:strCache>
                <c:ptCount val="4"/>
                <c:pt idx="0">
                  <c:v>Benin</c:v>
                </c:pt>
                <c:pt idx="1">
                  <c:v>Brazil</c:v>
                </c:pt>
                <c:pt idx="2">
                  <c:v>Africa Eastern and Southern</c:v>
                </c:pt>
                <c:pt idx="3">
                  <c:v>Angola</c:v>
                </c:pt>
              </c:strCache>
            </c:strRef>
          </c:cat>
          <c:val>
            <c:numRef>
              <c:f>Data!$AX$2:$AX$5</c:f>
              <c:numCache>
                <c:formatCode>General</c:formatCode>
                <c:ptCount val="4"/>
                <c:pt idx="0">
                  <c:v>34.898456899999999</c:v>
                </c:pt>
                <c:pt idx="1">
                  <c:v>64.043607800000004</c:v>
                </c:pt>
                <c:pt idx="2">
                  <c:v>37.899950799999999</c:v>
                </c:pt>
                <c:pt idx="3">
                  <c:v>60.550546199999999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5"/>
          <c:order val="15"/>
          <c:tx>
            <c:strRef>
              <c:f>Data!$AY$1</c:f>
              <c:strCache>
                <c:ptCount val="1"/>
                <c:pt idx="0">
                  <c:v>2005</c:v>
                </c:pt>
              </c:strCache>
            </c:strRef>
          </c:tx>
          <c:spPr>
            <a:solidFill>
              <a:srgbClr val="FFFFFF"/>
            </a:solidFill>
            <a:ln cmpd="sng">
              <a:solidFill>
                <a:srgbClr val="000000"/>
              </a:solidFill>
            </a:ln>
          </c:spPr>
          <c:invertIfNegative val="1"/>
          <c:cat>
            <c:strRef>
              <c:f>Data!$AI$2:$AI$5</c:f>
              <c:strCache>
                <c:ptCount val="4"/>
                <c:pt idx="0">
                  <c:v>Benin</c:v>
                </c:pt>
                <c:pt idx="1">
                  <c:v>Brazil</c:v>
                </c:pt>
                <c:pt idx="2">
                  <c:v>Africa Eastern and Southern</c:v>
                </c:pt>
                <c:pt idx="3">
                  <c:v>Angola</c:v>
                </c:pt>
              </c:strCache>
            </c:strRef>
          </c:cat>
          <c:val>
            <c:numRef>
              <c:f>Data!$AY$2:$AY$5</c:f>
              <c:numCache>
                <c:formatCode>General</c:formatCode>
                <c:ptCount val="4"/>
                <c:pt idx="0">
                  <c:v>34.4550372</c:v>
                </c:pt>
                <c:pt idx="1">
                  <c:v>63.570920100000002</c:v>
                </c:pt>
                <c:pt idx="2">
                  <c:v>37.701120299999999</c:v>
                </c:pt>
                <c:pt idx="3">
                  <c:v>60.105322100000002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6"/>
          <c:order val="16"/>
          <c:tx>
            <c:strRef>
              <c:f>Data!$AZ$1</c:f>
              <c:strCache>
                <c:ptCount val="1"/>
                <c:pt idx="0">
                  <c:v>2006</c:v>
                </c:pt>
              </c:strCache>
            </c:strRef>
          </c:tx>
          <c:spPr>
            <a:solidFill>
              <a:srgbClr val="FFFFFF"/>
            </a:solidFill>
            <a:ln cmpd="sng">
              <a:solidFill>
                <a:srgbClr val="000000"/>
              </a:solidFill>
            </a:ln>
          </c:spPr>
          <c:invertIfNegative val="1"/>
          <c:cat>
            <c:strRef>
              <c:f>Data!$AI$2:$AI$5</c:f>
              <c:strCache>
                <c:ptCount val="4"/>
                <c:pt idx="0">
                  <c:v>Benin</c:v>
                </c:pt>
                <c:pt idx="1">
                  <c:v>Brazil</c:v>
                </c:pt>
                <c:pt idx="2">
                  <c:v>Africa Eastern and Southern</c:v>
                </c:pt>
                <c:pt idx="3">
                  <c:v>Angola</c:v>
                </c:pt>
              </c:strCache>
            </c:strRef>
          </c:cat>
          <c:val>
            <c:numRef>
              <c:f>Data!$AZ$2:$AZ$5</c:f>
              <c:numCache>
                <c:formatCode>General</c:formatCode>
                <c:ptCount val="4"/>
                <c:pt idx="0">
                  <c:v>34.011617600000001</c:v>
                </c:pt>
                <c:pt idx="1">
                  <c:v>63.098232400000001</c:v>
                </c:pt>
                <c:pt idx="2">
                  <c:v>37.502464500000002</c:v>
                </c:pt>
                <c:pt idx="3">
                  <c:v>59.660097899999997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7"/>
          <c:order val="17"/>
          <c:tx>
            <c:strRef>
              <c:f>Data!$BA$1</c:f>
              <c:strCache>
                <c:ptCount val="1"/>
                <c:pt idx="0">
                  <c:v>2007</c:v>
                </c:pt>
              </c:strCache>
            </c:strRef>
          </c:tx>
          <c:spPr>
            <a:solidFill>
              <a:srgbClr val="FFFFFF"/>
            </a:solidFill>
            <a:ln cmpd="sng">
              <a:solidFill>
                <a:srgbClr val="000000"/>
              </a:solidFill>
            </a:ln>
          </c:spPr>
          <c:invertIfNegative val="1"/>
          <c:cat>
            <c:strRef>
              <c:f>Data!$AI$2:$AI$5</c:f>
              <c:strCache>
                <c:ptCount val="4"/>
                <c:pt idx="0">
                  <c:v>Benin</c:v>
                </c:pt>
                <c:pt idx="1">
                  <c:v>Brazil</c:v>
                </c:pt>
                <c:pt idx="2">
                  <c:v>Africa Eastern and Southern</c:v>
                </c:pt>
                <c:pt idx="3">
                  <c:v>Angola</c:v>
                </c:pt>
              </c:strCache>
            </c:strRef>
          </c:cat>
          <c:val>
            <c:numRef>
              <c:f>Data!$BA$2:$BA$5</c:f>
              <c:numCache>
                <c:formatCode>General</c:formatCode>
                <c:ptCount val="4"/>
                <c:pt idx="0">
                  <c:v>33.568197900000001</c:v>
                </c:pt>
                <c:pt idx="1">
                  <c:v>62.625544699999999</c:v>
                </c:pt>
                <c:pt idx="2">
                  <c:v>37.303880200000002</c:v>
                </c:pt>
                <c:pt idx="3">
                  <c:v>59.214873699999998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8"/>
          <c:order val="18"/>
          <c:tx>
            <c:strRef>
              <c:f>Data!$BB$1</c:f>
              <c:strCache>
                <c:ptCount val="1"/>
                <c:pt idx="0">
                  <c:v>2008</c:v>
                </c:pt>
              </c:strCache>
            </c:strRef>
          </c:tx>
          <c:spPr>
            <a:solidFill>
              <a:srgbClr val="FFFFFF"/>
            </a:solidFill>
            <a:ln cmpd="sng">
              <a:solidFill>
                <a:srgbClr val="000000"/>
              </a:solidFill>
            </a:ln>
          </c:spPr>
          <c:invertIfNegative val="1"/>
          <c:cat>
            <c:strRef>
              <c:f>Data!$AI$2:$AI$5</c:f>
              <c:strCache>
                <c:ptCount val="4"/>
                <c:pt idx="0">
                  <c:v>Benin</c:v>
                </c:pt>
                <c:pt idx="1">
                  <c:v>Brazil</c:v>
                </c:pt>
                <c:pt idx="2">
                  <c:v>Africa Eastern and Southern</c:v>
                </c:pt>
                <c:pt idx="3">
                  <c:v>Angola</c:v>
                </c:pt>
              </c:strCache>
            </c:strRef>
          </c:cat>
          <c:val>
            <c:numRef>
              <c:f>Data!$BB$2:$BB$5</c:f>
              <c:numCache>
                <c:formatCode>General</c:formatCode>
                <c:ptCount val="4"/>
                <c:pt idx="0">
                  <c:v>33.124778300000003</c:v>
                </c:pt>
                <c:pt idx="1">
                  <c:v>62.152856999999997</c:v>
                </c:pt>
                <c:pt idx="2">
                  <c:v>37.105259400000001</c:v>
                </c:pt>
                <c:pt idx="3">
                  <c:v>58.7696495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9"/>
          <c:order val="19"/>
          <c:tx>
            <c:strRef>
              <c:f>Data!$BC$1</c:f>
              <c:strCache>
                <c:ptCount val="1"/>
                <c:pt idx="0">
                  <c:v>2009</c:v>
                </c:pt>
              </c:strCache>
            </c:strRef>
          </c:tx>
          <c:spPr>
            <a:solidFill>
              <a:srgbClr val="FFFFFF"/>
            </a:solidFill>
            <a:ln cmpd="sng">
              <a:solidFill>
                <a:srgbClr val="000000"/>
              </a:solidFill>
            </a:ln>
          </c:spPr>
          <c:invertIfNegative val="1"/>
          <c:cat>
            <c:strRef>
              <c:f>Data!$AI$2:$AI$5</c:f>
              <c:strCache>
                <c:ptCount val="4"/>
                <c:pt idx="0">
                  <c:v>Benin</c:v>
                </c:pt>
                <c:pt idx="1">
                  <c:v>Brazil</c:v>
                </c:pt>
                <c:pt idx="2">
                  <c:v>Africa Eastern and Southern</c:v>
                </c:pt>
                <c:pt idx="3">
                  <c:v>Angola</c:v>
                </c:pt>
              </c:strCache>
            </c:strRef>
          </c:cat>
          <c:val>
            <c:numRef>
              <c:f>Data!$BC$2:$BC$5</c:f>
              <c:numCache>
                <c:formatCode>General</c:formatCode>
                <c:ptCount val="4"/>
                <c:pt idx="0">
                  <c:v>32.681358600000003</c:v>
                </c:pt>
                <c:pt idx="1">
                  <c:v>61.680169300000003</c:v>
                </c:pt>
                <c:pt idx="2">
                  <c:v>36.906595699999997</c:v>
                </c:pt>
                <c:pt idx="3">
                  <c:v>58.324425300000001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20"/>
          <c:order val="20"/>
          <c:tx>
            <c:strRef>
              <c:f>Data!$BD$1</c:f>
              <c:strCache>
                <c:ptCount val="1"/>
                <c:pt idx="0">
                  <c:v>2010</c:v>
                </c:pt>
              </c:strCache>
            </c:strRef>
          </c:tx>
          <c:spPr>
            <a:solidFill>
              <a:srgbClr val="FFFFFF"/>
            </a:solidFill>
            <a:ln cmpd="sng">
              <a:solidFill>
                <a:srgbClr val="000000"/>
              </a:solidFill>
            </a:ln>
          </c:spPr>
          <c:invertIfNegative val="1"/>
          <c:cat>
            <c:strRef>
              <c:f>Data!$AI$2:$AI$5</c:f>
              <c:strCache>
                <c:ptCount val="4"/>
                <c:pt idx="0">
                  <c:v>Benin</c:v>
                </c:pt>
                <c:pt idx="1">
                  <c:v>Brazil</c:v>
                </c:pt>
                <c:pt idx="2">
                  <c:v>Africa Eastern and Southern</c:v>
                </c:pt>
                <c:pt idx="3">
                  <c:v>Angola</c:v>
                </c:pt>
              </c:strCache>
            </c:strRef>
          </c:cat>
          <c:val>
            <c:numRef>
              <c:f>Data!$BD$2:$BD$5</c:f>
              <c:numCache>
                <c:formatCode>General</c:formatCode>
                <c:ptCount val="4"/>
                <c:pt idx="0">
                  <c:v>32.237938999999997</c:v>
                </c:pt>
                <c:pt idx="1">
                  <c:v>61.207481600000001</c:v>
                </c:pt>
                <c:pt idx="2">
                  <c:v>31.910877899999999</c:v>
                </c:pt>
                <c:pt idx="3">
                  <c:v>57.879201100000003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21"/>
          <c:order val="21"/>
          <c:tx>
            <c:strRef>
              <c:f>Data!$BE$1</c:f>
              <c:strCache>
                <c:ptCount val="1"/>
                <c:pt idx="0">
                  <c:v>2011</c:v>
                </c:pt>
              </c:strCache>
            </c:strRef>
          </c:tx>
          <c:spPr>
            <a:solidFill>
              <a:srgbClr val="FFFFFF"/>
            </a:solidFill>
            <a:ln cmpd="sng">
              <a:solidFill>
                <a:srgbClr val="000000"/>
              </a:solidFill>
            </a:ln>
          </c:spPr>
          <c:invertIfNegative val="1"/>
          <c:cat>
            <c:strRef>
              <c:f>Data!$AI$2:$AI$5</c:f>
              <c:strCache>
                <c:ptCount val="4"/>
                <c:pt idx="0">
                  <c:v>Benin</c:v>
                </c:pt>
                <c:pt idx="1">
                  <c:v>Brazil</c:v>
                </c:pt>
                <c:pt idx="2">
                  <c:v>Africa Eastern and Southern</c:v>
                </c:pt>
                <c:pt idx="3">
                  <c:v>Angola</c:v>
                </c:pt>
              </c:strCache>
            </c:strRef>
          </c:cat>
          <c:val>
            <c:numRef>
              <c:f>Data!$BE$2:$BE$5</c:f>
              <c:numCache>
                <c:formatCode>General</c:formatCode>
                <c:ptCount val="4"/>
                <c:pt idx="0">
                  <c:v>31.794519300000001</c:v>
                </c:pt>
                <c:pt idx="1">
                  <c:v>61.023328200000002</c:v>
                </c:pt>
                <c:pt idx="2">
                  <c:v>32.183134799999998</c:v>
                </c:pt>
                <c:pt idx="3">
                  <c:v>57.433976100000002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22"/>
          <c:order val="22"/>
          <c:tx>
            <c:strRef>
              <c:f>Data!$BF$1</c:f>
              <c:strCache>
                <c:ptCount val="1"/>
                <c:pt idx="0">
                  <c:v>2012</c:v>
                </c:pt>
              </c:strCache>
            </c:strRef>
          </c:tx>
          <c:spPr>
            <a:solidFill>
              <a:srgbClr val="FFFFFF"/>
            </a:solidFill>
            <a:ln cmpd="sng">
              <a:solidFill>
                <a:srgbClr val="000000"/>
              </a:solidFill>
            </a:ln>
          </c:spPr>
          <c:invertIfNegative val="1"/>
          <c:cat>
            <c:strRef>
              <c:f>Data!$AI$2:$AI$5</c:f>
              <c:strCache>
                <c:ptCount val="4"/>
                <c:pt idx="0">
                  <c:v>Benin</c:v>
                </c:pt>
                <c:pt idx="1">
                  <c:v>Brazil</c:v>
                </c:pt>
                <c:pt idx="2">
                  <c:v>Africa Eastern and Southern</c:v>
                </c:pt>
                <c:pt idx="3">
                  <c:v>Angola</c:v>
                </c:pt>
              </c:strCache>
            </c:strRef>
          </c:cat>
          <c:val>
            <c:numRef>
              <c:f>Data!$BF$2:$BF$5</c:f>
              <c:numCache>
                <c:formatCode>General</c:formatCode>
                <c:ptCount val="4"/>
                <c:pt idx="0">
                  <c:v>31.351099699999999</c:v>
                </c:pt>
                <c:pt idx="1">
                  <c:v>60.839174700000001</c:v>
                </c:pt>
                <c:pt idx="2">
                  <c:v>31.972492299999999</c:v>
                </c:pt>
                <c:pt idx="3">
                  <c:v>56.988751100000002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23"/>
          <c:order val="23"/>
          <c:tx>
            <c:strRef>
              <c:f>Data!$BG$1</c:f>
              <c:strCache>
                <c:ptCount val="1"/>
                <c:pt idx="0">
                  <c:v>2013</c:v>
                </c:pt>
              </c:strCache>
            </c:strRef>
          </c:tx>
          <c:spPr>
            <a:solidFill>
              <a:srgbClr val="FFFFFF"/>
            </a:solidFill>
            <a:ln cmpd="sng">
              <a:solidFill>
                <a:srgbClr val="000000"/>
              </a:solidFill>
            </a:ln>
          </c:spPr>
          <c:invertIfNegative val="1"/>
          <c:cat>
            <c:strRef>
              <c:f>Data!$AI$2:$AI$5</c:f>
              <c:strCache>
                <c:ptCount val="4"/>
                <c:pt idx="0">
                  <c:v>Benin</c:v>
                </c:pt>
                <c:pt idx="1">
                  <c:v>Brazil</c:v>
                </c:pt>
                <c:pt idx="2">
                  <c:v>Africa Eastern and Southern</c:v>
                </c:pt>
                <c:pt idx="3">
                  <c:v>Angola</c:v>
                </c:pt>
              </c:strCache>
            </c:strRef>
          </c:cat>
          <c:val>
            <c:numRef>
              <c:f>Data!$BG$2:$BG$5</c:f>
              <c:numCache>
                <c:formatCode>General</c:formatCode>
                <c:ptCount val="4"/>
                <c:pt idx="0">
                  <c:v>30.907679999999999</c:v>
                </c:pt>
                <c:pt idx="1">
                  <c:v>60.655021300000001</c:v>
                </c:pt>
                <c:pt idx="2">
                  <c:v>31.761841700000002</c:v>
                </c:pt>
                <c:pt idx="3">
                  <c:v>56.543526100000001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24"/>
          <c:order val="24"/>
          <c:tx>
            <c:strRef>
              <c:f>Data!$BH$1</c:f>
              <c:strCache>
                <c:ptCount val="1"/>
                <c:pt idx="0">
                  <c:v>2014</c:v>
                </c:pt>
              </c:strCache>
            </c:strRef>
          </c:tx>
          <c:spPr>
            <a:solidFill>
              <a:srgbClr val="FFFFFF"/>
            </a:solidFill>
            <a:ln cmpd="sng">
              <a:solidFill>
                <a:srgbClr val="000000"/>
              </a:solidFill>
            </a:ln>
          </c:spPr>
          <c:invertIfNegative val="1"/>
          <c:cat>
            <c:strRef>
              <c:f>Data!$AI$2:$AI$5</c:f>
              <c:strCache>
                <c:ptCount val="4"/>
                <c:pt idx="0">
                  <c:v>Benin</c:v>
                </c:pt>
                <c:pt idx="1">
                  <c:v>Brazil</c:v>
                </c:pt>
                <c:pt idx="2">
                  <c:v>Africa Eastern and Southern</c:v>
                </c:pt>
                <c:pt idx="3">
                  <c:v>Angola</c:v>
                </c:pt>
              </c:strCache>
            </c:strRef>
          </c:cat>
          <c:val>
            <c:numRef>
              <c:f>Data!$BH$2:$BH$5</c:f>
              <c:numCache>
                <c:formatCode>General</c:formatCode>
                <c:ptCount val="4"/>
                <c:pt idx="0">
                  <c:v>30.464260400000001</c:v>
                </c:pt>
                <c:pt idx="1">
                  <c:v>60.470867900000002</c:v>
                </c:pt>
                <c:pt idx="2">
                  <c:v>31.5512701</c:v>
                </c:pt>
                <c:pt idx="3">
                  <c:v>56.0983011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25"/>
          <c:order val="25"/>
          <c:tx>
            <c:strRef>
              <c:f>Data!$BI$1</c:f>
              <c:strCache>
                <c:ptCount val="1"/>
                <c:pt idx="0">
                  <c:v>2015</c:v>
                </c:pt>
              </c:strCache>
            </c:strRef>
          </c:tx>
          <c:spPr>
            <a:solidFill>
              <a:srgbClr val="FFFFFF"/>
            </a:solidFill>
            <a:ln cmpd="sng">
              <a:solidFill>
                <a:srgbClr val="000000"/>
              </a:solidFill>
            </a:ln>
          </c:spPr>
          <c:invertIfNegative val="1"/>
          <c:cat>
            <c:strRef>
              <c:f>Data!$AI$2:$AI$5</c:f>
              <c:strCache>
                <c:ptCount val="4"/>
                <c:pt idx="0">
                  <c:v>Benin</c:v>
                </c:pt>
                <c:pt idx="1">
                  <c:v>Brazil</c:v>
                </c:pt>
                <c:pt idx="2">
                  <c:v>Africa Eastern and Southern</c:v>
                </c:pt>
                <c:pt idx="3">
                  <c:v>Angola</c:v>
                </c:pt>
              </c:strCache>
            </c:strRef>
          </c:cat>
          <c:val>
            <c:numRef>
              <c:f>Data!$BI$2:$BI$5</c:f>
              <c:numCache>
                <c:formatCode>General</c:formatCode>
                <c:ptCount val="4"/>
                <c:pt idx="0">
                  <c:v>30.020840700000001</c:v>
                </c:pt>
                <c:pt idx="1">
                  <c:v>60.286714500000002</c:v>
                </c:pt>
                <c:pt idx="2">
                  <c:v>31.340525599999999</c:v>
                </c:pt>
                <c:pt idx="3">
                  <c:v>55.6530761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26"/>
          <c:order val="26"/>
          <c:tx>
            <c:strRef>
              <c:f>Data!$BJ$1</c:f>
              <c:strCache>
                <c:ptCount val="1"/>
                <c:pt idx="0">
                  <c:v>2016</c:v>
                </c:pt>
              </c:strCache>
            </c:strRef>
          </c:tx>
          <c:spPr>
            <a:solidFill>
              <a:srgbClr val="FFFFFF"/>
            </a:solidFill>
            <a:ln cmpd="sng">
              <a:solidFill>
                <a:srgbClr val="000000"/>
              </a:solidFill>
            </a:ln>
          </c:spPr>
          <c:invertIfNegative val="1"/>
          <c:cat>
            <c:strRef>
              <c:f>Data!$AI$2:$AI$5</c:f>
              <c:strCache>
                <c:ptCount val="4"/>
                <c:pt idx="0">
                  <c:v>Benin</c:v>
                </c:pt>
                <c:pt idx="1">
                  <c:v>Brazil</c:v>
                </c:pt>
                <c:pt idx="2">
                  <c:v>Africa Eastern and Southern</c:v>
                </c:pt>
                <c:pt idx="3">
                  <c:v>Angola</c:v>
                </c:pt>
              </c:strCache>
            </c:strRef>
          </c:cat>
          <c:val>
            <c:numRef>
              <c:f>Data!$BJ$2:$BJ$5</c:f>
              <c:numCache>
                <c:formatCode>General</c:formatCode>
                <c:ptCount val="4"/>
                <c:pt idx="0">
                  <c:v>29.577421099999999</c:v>
                </c:pt>
                <c:pt idx="1">
                  <c:v>60.071032600000002</c:v>
                </c:pt>
                <c:pt idx="2">
                  <c:v>31.1194314</c:v>
                </c:pt>
                <c:pt idx="3">
                  <c:v>55.207844700000003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27"/>
          <c:order val="27"/>
          <c:tx>
            <c:strRef>
              <c:f>Data!$BK$1</c:f>
              <c:strCache>
                <c:ptCount val="1"/>
                <c:pt idx="0">
                  <c:v>2017</c:v>
                </c:pt>
              </c:strCache>
            </c:strRef>
          </c:tx>
          <c:spPr>
            <a:solidFill>
              <a:srgbClr val="FFFFFF"/>
            </a:solidFill>
            <a:ln cmpd="sng">
              <a:solidFill>
                <a:srgbClr val="000000"/>
              </a:solidFill>
            </a:ln>
          </c:spPr>
          <c:invertIfNegative val="1"/>
          <c:cat>
            <c:strRef>
              <c:f>Data!$AI$2:$AI$5</c:f>
              <c:strCache>
                <c:ptCount val="4"/>
                <c:pt idx="0">
                  <c:v>Benin</c:v>
                </c:pt>
                <c:pt idx="1">
                  <c:v>Brazil</c:v>
                </c:pt>
                <c:pt idx="2">
                  <c:v>Africa Eastern and Southern</c:v>
                </c:pt>
                <c:pt idx="3">
                  <c:v>Angola</c:v>
                </c:pt>
              </c:strCache>
            </c:strRef>
          </c:cat>
          <c:val>
            <c:numRef>
              <c:f>Data!$BK$2:$BK$5</c:f>
              <c:numCache>
                <c:formatCode>General</c:formatCode>
                <c:ptCount val="4"/>
                <c:pt idx="0">
                  <c:v>29.134001399999999</c:v>
                </c:pt>
                <c:pt idx="1">
                  <c:v>59.832881499999999</c:v>
                </c:pt>
                <c:pt idx="2">
                  <c:v>30.903542900000001</c:v>
                </c:pt>
                <c:pt idx="3">
                  <c:v>54.7626293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28"/>
          <c:order val="28"/>
          <c:tx>
            <c:strRef>
              <c:f>Data!$BL$1</c:f>
              <c:strCache>
                <c:ptCount val="1"/>
                <c:pt idx="0">
                  <c:v>2018</c:v>
                </c:pt>
              </c:strCache>
            </c:strRef>
          </c:tx>
          <c:spPr>
            <a:solidFill>
              <a:srgbClr val="FFFFFF"/>
            </a:solidFill>
            <a:ln cmpd="sng">
              <a:solidFill>
                <a:srgbClr val="000000"/>
              </a:solidFill>
            </a:ln>
          </c:spPr>
          <c:invertIfNegative val="1"/>
          <c:cat>
            <c:strRef>
              <c:f>Data!$AI$2:$AI$5</c:f>
              <c:strCache>
                <c:ptCount val="4"/>
                <c:pt idx="0">
                  <c:v>Benin</c:v>
                </c:pt>
                <c:pt idx="1">
                  <c:v>Brazil</c:v>
                </c:pt>
                <c:pt idx="2">
                  <c:v>Africa Eastern and Southern</c:v>
                </c:pt>
                <c:pt idx="3">
                  <c:v>Angola</c:v>
                </c:pt>
              </c:strCache>
            </c:strRef>
          </c:cat>
          <c:val>
            <c:numRef>
              <c:f>Data!$BL$2:$BL$5</c:f>
              <c:numCache>
                <c:formatCode>General</c:formatCode>
                <c:ptCount val="4"/>
                <c:pt idx="0">
                  <c:v>28.6905818</c:v>
                </c:pt>
                <c:pt idx="1">
                  <c:v>59.708427999999998</c:v>
                </c:pt>
                <c:pt idx="2">
                  <c:v>30.690224300000001</c:v>
                </c:pt>
                <c:pt idx="3">
                  <c:v>54.317405999999998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301117824"/>
        <c:axId val="301119744"/>
      </c:barChart>
      <c:catAx>
        <c:axId val="301117824"/>
        <c:scaling>
          <c:orientation val="minMax"/>
        </c:scaling>
        <c:delete val="0"/>
        <c:axPos val="b"/>
        <c:title>
          <c:tx>
            <c:rich>
              <a:bodyPr/>
              <a:lstStyle/>
              <a:p>
                <a:pPr lvl="0">
                  <a:defRPr b="0">
                    <a:solidFill>
                      <a:srgbClr val="000000"/>
                    </a:solidFill>
                    <a:latin typeface="+mn-lt"/>
                  </a:defRPr>
                </a:pPr>
                <a:endParaRPr lang="fr-FR"/>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fr-FR"/>
          </a:p>
        </c:txPr>
        <c:crossAx val="301119744"/>
        <c:crosses val="autoZero"/>
        <c:auto val="1"/>
        <c:lblAlgn val="ctr"/>
        <c:lblOffset val="100"/>
        <c:noMultiLvlLbl val="1"/>
      </c:catAx>
      <c:valAx>
        <c:axId val="3011197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fr-FR"/>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fr-FR"/>
          </a:p>
        </c:txPr>
        <c:crossAx val="301117824"/>
        <c:crosses val="autoZero"/>
        <c:crossBetween val="between"/>
      </c:valAx>
    </c:plotArea>
    <c:legend>
      <c:legendPos val="r"/>
      <c:layout/>
      <c:overlay val="0"/>
      <c:txPr>
        <a:bodyPr/>
        <a:lstStyle/>
        <a:p>
          <a:pPr lvl="0">
            <a:defRPr b="0">
              <a:solidFill>
                <a:srgbClr val="1A1A1A"/>
              </a:solidFill>
              <a:latin typeface="+mn-lt"/>
            </a:defRPr>
          </a:pPr>
          <a:endParaRPr lang="fr-FR"/>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26</xdr:col>
      <xdr:colOff>104775</xdr:colOff>
      <xdr:row>1</xdr:row>
      <xdr:rowOff>95250</xdr:rowOff>
    </xdr:from>
    <xdr:ext cx="5715000" cy="3533775"/>
    <xdr:graphicFrame macro="">
      <xdr:nvGraphicFramePr>
        <xdr:cNvPr id="2" name="Chart 1" title="Graphiqu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666750</xdr:colOff>
      <xdr:row>8</xdr:row>
      <xdr:rowOff>95250</xdr:rowOff>
    </xdr:from>
    <xdr:ext cx="5715000" cy="3533775"/>
    <xdr:graphicFrame macro="">
      <xdr:nvGraphicFramePr>
        <xdr:cNvPr id="2" name="Chart 2" title="Graphiqu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390525</xdr:colOff>
      <xdr:row>28</xdr:row>
      <xdr:rowOff>66675</xdr:rowOff>
    </xdr:from>
    <xdr:ext cx="5715000" cy="3533775"/>
    <xdr:graphicFrame macro="">
      <xdr:nvGraphicFramePr>
        <xdr:cNvPr id="3" name="Chart 3" title="Graphiqu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0</xdr:row>
      <xdr:rowOff>0</xdr:rowOff>
    </xdr:from>
    <xdr:ext cx="1733550" cy="342900"/>
    <xdr:pic>
      <xdr:nvPicPr>
        <xdr:cNvPr id="4" name="image1.png" title="Image"/>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997"/>
  <sheetViews>
    <sheetView workbookViewId="0"/>
  </sheetViews>
  <sheetFormatPr baseColWidth="10" defaultColWidth="14.453125" defaultRowHeight="15" customHeight="1" x14ac:dyDescent="0.35"/>
  <cols>
    <col min="1" max="1" width="44" customWidth="1"/>
    <col min="2" max="75" width="11.453125" customWidth="1"/>
  </cols>
  <sheetData>
    <row r="1" spans="1:75" ht="12.75" customHeight="1" x14ac:dyDescent="0.35">
      <c r="A1" s="1" t="s">
        <v>0</v>
      </c>
      <c r="B1" s="1">
        <v>1990</v>
      </c>
      <c r="C1" s="1">
        <v>1991</v>
      </c>
      <c r="D1" s="1">
        <v>1992</v>
      </c>
      <c r="E1" s="1">
        <v>1993</v>
      </c>
      <c r="F1" s="1">
        <v>1994</v>
      </c>
      <c r="G1" s="1">
        <v>1995</v>
      </c>
      <c r="H1" s="1">
        <v>1996</v>
      </c>
      <c r="I1" s="1">
        <v>1997</v>
      </c>
      <c r="J1" s="1">
        <v>1998</v>
      </c>
      <c r="K1" s="1">
        <v>1999</v>
      </c>
      <c r="L1" s="1">
        <v>2000</v>
      </c>
      <c r="M1" s="1">
        <v>2001</v>
      </c>
      <c r="N1" s="1">
        <v>2002</v>
      </c>
      <c r="O1" s="1">
        <v>2003</v>
      </c>
      <c r="P1" s="1">
        <v>2004</v>
      </c>
      <c r="Q1" s="1">
        <v>2005</v>
      </c>
      <c r="R1" s="1">
        <v>2006</v>
      </c>
      <c r="S1" s="1">
        <v>2007</v>
      </c>
      <c r="T1" s="1">
        <v>2008</v>
      </c>
      <c r="U1" s="1">
        <v>2009</v>
      </c>
      <c r="V1" s="1">
        <v>2010</v>
      </c>
      <c r="W1" s="1">
        <v>2011</v>
      </c>
      <c r="X1" s="1">
        <v>2012</v>
      </c>
      <c r="Y1" s="1">
        <v>2013</v>
      </c>
      <c r="Z1" s="1">
        <v>2014</v>
      </c>
      <c r="AA1" s="1">
        <v>2015</v>
      </c>
      <c r="AB1" s="1">
        <v>2016</v>
      </c>
      <c r="AC1" s="1">
        <v>2017</v>
      </c>
      <c r="AD1" s="1">
        <v>2018</v>
      </c>
      <c r="AE1" s="1">
        <v>2019</v>
      </c>
      <c r="AF1" s="1">
        <v>2020</v>
      </c>
      <c r="AG1" s="1" t="s">
        <v>1</v>
      </c>
      <c r="AH1" s="1"/>
      <c r="AI1" s="1" t="str">
        <f ca="1">IFERROR(__xludf.DUMMYFUNCTION("QUERY(A1:AH21, ""where AH = TRUE"", 1)"),"Country Name")</f>
        <v>Country Name</v>
      </c>
      <c r="AJ1" s="1" t="str">
        <f ca="1">IFERROR(__xludf.DUMMYFUNCTION("""COMPUTED_VALUE"""),"1990")</f>
        <v>1990</v>
      </c>
      <c r="AK1" s="1" t="str">
        <f ca="1">IFERROR(__xludf.DUMMYFUNCTION("""COMPUTED_VALUE"""),"1991")</f>
        <v>1991</v>
      </c>
      <c r="AL1" s="1" t="str">
        <f ca="1">IFERROR(__xludf.DUMMYFUNCTION("""COMPUTED_VALUE"""),"1992")</f>
        <v>1992</v>
      </c>
      <c r="AM1" s="1" t="str">
        <f ca="1">IFERROR(__xludf.DUMMYFUNCTION("""COMPUTED_VALUE"""),"1993")</f>
        <v>1993</v>
      </c>
      <c r="AN1" s="1" t="str">
        <f ca="1">IFERROR(__xludf.DUMMYFUNCTION("""COMPUTED_VALUE"""),"1994")</f>
        <v>1994</v>
      </c>
      <c r="AO1" s="1" t="str">
        <f ca="1">IFERROR(__xludf.DUMMYFUNCTION("""COMPUTED_VALUE"""),"1995")</f>
        <v>1995</v>
      </c>
      <c r="AP1" s="1" t="str">
        <f ca="1">IFERROR(__xludf.DUMMYFUNCTION("""COMPUTED_VALUE"""),"1996")</f>
        <v>1996</v>
      </c>
      <c r="AQ1" s="1" t="str">
        <f ca="1">IFERROR(__xludf.DUMMYFUNCTION("""COMPUTED_VALUE"""),"1997")</f>
        <v>1997</v>
      </c>
      <c r="AR1" s="1" t="str">
        <f ca="1">IFERROR(__xludf.DUMMYFUNCTION("""COMPUTED_VALUE"""),"1998")</f>
        <v>1998</v>
      </c>
      <c r="AS1" s="1" t="str">
        <f ca="1">IFERROR(__xludf.DUMMYFUNCTION("""COMPUTED_VALUE"""),"1999")</f>
        <v>1999</v>
      </c>
      <c r="AT1" s="1" t="str">
        <f ca="1">IFERROR(__xludf.DUMMYFUNCTION("""COMPUTED_VALUE"""),"2000")</f>
        <v>2000</v>
      </c>
      <c r="AU1" s="1" t="str">
        <f ca="1">IFERROR(__xludf.DUMMYFUNCTION("""COMPUTED_VALUE"""),"2001")</f>
        <v>2001</v>
      </c>
      <c r="AV1" s="1" t="str">
        <f ca="1">IFERROR(__xludf.DUMMYFUNCTION("""COMPUTED_VALUE"""),"2002")</f>
        <v>2002</v>
      </c>
      <c r="AW1" s="1" t="str">
        <f ca="1">IFERROR(__xludf.DUMMYFUNCTION("""COMPUTED_VALUE"""),"2003")</f>
        <v>2003</v>
      </c>
      <c r="AX1" s="1" t="str">
        <f ca="1">IFERROR(__xludf.DUMMYFUNCTION("""COMPUTED_VALUE"""),"2004")</f>
        <v>2004</v>
      </c>
      <c r="AY1" s="1" t="str">
        <f ca="1">IFERROR(__xludf.DUMMYFUNCTION("""COMPUTED_VALUE"""),"2005")</f>
        <v>2005</v>
      </c>
      <c r="AZ1" s="1" t="str">
        <f ca="1">IFERROR(__xludf.DUMMYFUNCTION("""COMPUTED_VALUE"""),"2006")</f>
        <v>2006</v>
      </c>
      <c r="BA1" s="1" t="str">
        <f ca="1">IFERROR(__xludf.DUMMYFUNCTION("""COMPUTED_VALUE"""),"2007")</f>
        <v>2007</v>
      </c>
      <c r="BB1" s="1" t="str">
        <f ca="1">IFERROR(__xludf.DUMMYFUNCTION("""COMPUTED_VALUE"""),"2008")</f>
        <v>2008</v>
      </c>
      <c r="BC1" s="1" t="str">
        <f ca="1">IFERROR(__xludf.DUMMYFUNCTION("""COMPUTED_VALUE"""),"2009")</f>
        <v>2009</v>
      </c>
      <c r="BD1" s="1" t="str">
        <f ca="1">IFERROR(__xludf.DUMMYFUNCTION("""COMPUTED_VALUE"""),"2010")</f>
        <v>2010</v>
      </c>
      <c r="BE1" s="1" t="str">
        <f ca="1">IFERROR(__xludf.DUMMYFUNCTION("""COMPUTED_VALUE"""),"2011")</f>
        <v>2011</v>
      </c>
      <c r="BF1" s="1" t="str">
        <f ca="1">IFERROR(__xludf.DUMMYFUNCTION("""COMPUTED_VALUE"""),"2012")</f>
        <v>2012</v>
      </c>
      <c r="BG1" s="1" t="str">
        <f ca="1">IFERROR(__xludf.DUMMYFUNCTION("""COMPUTED_VALUE"""),"2013")</f>
        <v>2013</v>
      </c>
      <c r="BH1" s="1" t="str">
        <f ca="1">IFERROR(__xludf.DUMMYFUNCTION("""COMPUTED_VALUE"""),"2014")</f>
        <v>2014</v>
      </c>
      <c r="BI1" s="1" t="str">
        <f ca="1">IFERROR(__xludf.DUMMYFUNCTION("""COMPUTED_VALUE"""),"2015")</f>
        <v>2015</v>
      </c>
      <c r="BJ1" s="1" t="str">
        <f ca="1">IFERROR(__xludf.DUMMYFUNCTION("""COMPUTED_VALUE"""),"2016")</f>
        <v>2016</v>
      </c>
      <c r="BK1" s="1" t="str">
        <f ca="1">IFERROR(__xludf.DUMMYFUNCTION("""COMPUTED_VALUE"""),"2017")</f>
        <v>2017</v>
      </c>
      <c r="BL1" s="1" t="str">
        <f ca="1">IFERROR(__xludf.DUMMYFUNCTION("""COMPUTED_VALUE"""),"2018")</f>
        <v>2018</v>
      </c>
      <c r="BM1" s="1" t="str">
        <f ca="1">IFERROR(__xludf.DUMMYFUNCTION("""COMPUTED_VALUE"""),"2019")</f>
        <v>2019</v>
      </c>
      <c r="BN1" s="1" t="str">
        <f ca="1">IFERROR(__xludf.DUMMYFUNCTION("""COMPUTED_VALUE"""),"2020")</f>
        <v>2020</v>
      </c>
      <c r="BO1" s="1" t="str">
        <f ca="1">IFERROR(__xludf.DUMMYFUNCTION("""COMPUTED_VALUE"""),"difference")</f>
        <v>difference</v>
      </c>
      <c r="BP1" s="1" t="str">
        <f ca="1">IFERROR(__xludf.DUMMYFUNCTION("""COMPUTED_VALUE"""),"")</f>
        <v/>
      </c>
      <c r="BQ1" s="1"/>
      <c r="BR1" s="1"/>
      <c r="BS1" s="1"/>
      <c r="BT1" s="1"/>
      <c r="BU1" s="1"/>
      <c r="BV1" s="1"/>
      <c r="BW1" s="1"/>
    </row>
    <row r="2" spans="1:75" ht="12.75" customHeight="1" x14ac:dyDescent="0.35">
      <c r="A2" s="1" t="s">
        <v>2</v>
      </c>
      <c r="B2" s="2">
        <v>42.880010599999999</v>
      </c>
      <c r="C2" s="2">
        <v>42.2592231</v>
      </c>
      <c r="D2" s="2">
        <v>41.638435600000001</v>
      </c>
      <c r="E2" s="2">
        <v>41.017648100000002</v>
      </c>
      <c r="F2" s="2">
        <v>40.396860599999997</v>
      </c>
      <c r="G2" s="2">
        <v>39.776073099999998</v>
      </c>
      <c r="H2" s="2">
        <v>39.155285599999999</v>
      </c>
      <c r="I2" s="2">
        <v>38.534497999999999</v>
      </c>
      <c r="J2" s="2">
        <v>37.913710500000001</v>
      </c>
      <c r="K2" s="2">
        <v>37.292923000000002</v>
      </c>
      <c r="L2" s="2">
        <v>36.672135500000003</v>
      </c>
      <c r="M2" s="2">
        <v>36.228715899999997</v>
      </c>
      <c r="N2" s="2">
        <v>35.785296199999998</v>
      </c>
      <c r="O2" s="2">
        <v>35.341876599999999</v>
      </c>
      <c r="P2" s="2">
        <v>34.898456899999999</v>
      </c>
      <c r="Q2" s="2">
        <v>34.4550372</v>
      </c>
      <c r="R2" s="2">
        <v>34.011617600000001</v>
      </c>
      <c r="S2" s="2">
        <v>33.568197900000001</v>
      </c>
      <c r="T2" s="2">
        <v>33.124778300000003</v>
      </c>
      <c r="U2" s="2">
        <v>32.681358600000003</v>
      </c>
      <c r="V2" s="2">
        <v>32.237938999999997</v>
      </c>
      <c r="W2" s="2">
        <v>31.794519300000001</v>
      </c>
      <c r="X2" s="2">
        <v>31.351099699999999</v>
      </c>
      <c r="Y2" s="2">
        <v>30.907679999999999</v>
      </c>
      <c r="Z2" s="2">
        <v>30.464260400000001</v>
      </c>
      <c r="AA2" s="2">
        <v>30.020840700000001</v>
      </c>
      <c r="AB2" s="2">
        <v>29.577421099999999</v>
      </c>
      <c r="AC2" s="2">
        <v>29.134001399999999</v>
      </c>
      <c r="AD2" s="2">
        <v>28.6905818</v>
      </c>
      <c r="AE2" s="2">
        <v>28.247162100000001</v>
      </c>
      <c r="AF2" s="2">
        <v>27.803742499999998</v>
      </c>
      <c r="AG2" s="3">
        <v>15.0762681</v>
      </c>
      <c r="AH2" s="2" t="b">
        <v>1</v>
      </c>
      <c r="AI2" s="2" t="str">
        <f ca="1">IFERROR(__xludf.DUMMYFUNCTION("""COMPUTED_VALUE"""),"Benin")</f>
        <v>Benin</v>
      </c>
      <c r="AJ2" s="2">
        <f ca="1">IFERROR(__xludf.DUMMYFUNCTION("""COMPUTED_VALUE"""),42.8800106)</f>
        <v>42.880010599999999</v>
      </c>
      <c r="AK2" s="2">
        <f ca="1">IFERROR(__xludf.DUMMYFUNCTION("""COMPUTED_VALUE"""),42.2592231)</f>
        <v>42.2592231</v>
      </c>
      <c r="AL2" s="2">
        <f ca="1">IFERROR(__xludf.DUMMYFUNCTION("""COMPUTED_VALUE"""),41.6384356)</f>
        <v>41.638435600000001</v>
      </c>
      <c r="AM2" s="2">
        <f ca="1">IFERROR(__xludf.DUMMYFUNCTION("""COMPUTED_VALUE"""),41.0176481)</f>
        <v>41.017648100000002</v>
      </c>
      <c r="AN2" s="2">
        <f ca="1">IFERROR(__xludf.DUMMYFUNCTION("""COMPUTED_VALUE"""),40.3968606)</f>
        <v>40.396860599999997</v>
      </c>
      <c r="AO2" s="2">
        <f ca="1">IFERROR(__xludf.DUMMYFUNCTION("""COMPUTED_VALUE"""),39.7760731)</f>
        <v>39.776073099999998</v>
      </c>
      <c r="AP2" s="2">
        <f ca="1">IFERROR(__xludf.DUMMYFUNCTION("""COMPUTED_VALUE"""),39.1552856)</f>
        <v>39.155285599999999</v>
      </c>
      <c r="AQ2" s="2">
        <f ca="1">IFERROR(__xludf.DUMMYFUNCTION("""COMPUTED_VALUE"""),38.534498)</f>
        <v>38.534497999999999</v>
      </c>
      <c r="AR2" s="2">
        <f ca="1">IFERROR(__xludf.DUMMYFUNCTION("""COMPUTED_VALUE"""),37.9137105)</f>
        <v>37.913710500000001</v>
      </c>
      <c r="AS2" s="2">
        <f ca="1">IFERROR(__xludf.DUMMYFUNCTION("""COMPUTED_VALUE"""),37.292923)</f>
        <v>37.292923000000002</v>
      </c>
      <c r="AT2" s="2">
        <f ca="1">IFERROR(__xludf.DUMMYFUNCTION("""COMPUTED_VALUE"""),36.6721355)</f>
        <v>36.672135500000003</v>
      </c>
      <c r="AU2" s="2">
        <f ca="1">IFERROR(__xludf.DUMMYFUNCTION("""COMPUTED_VALUE"""),36.2287159)</f>
        <v>36.228715899999997</v>
      </c>
      <c r="AV2" s="2">
        <f ca="1">IFERROR(__xludf.DUMMYFUNCTION("""COMPUTED_VALUE"""),35.7852962)</f>
        <v>35.785296199999998</v>
      </c>
      <c r="AW2" s="2">
        <f ca="1">IFERROR(__xludf.DUMMYFUNCTION("""COMPUTED_VALUE"""),35.3418766)</f>
        <v>35.341876599999999</v>
      </c>
      <c r="AX2" s="2">
        <f ca="1">IFERROR(__xludf.DUMMYFUNCTION("""COMPUTED_VALUE"""),34.8984569)</f>
        <v>34.898456899999999</v>
      </c>
      <c r="AY2" s="2">
        <f ca="1">IFERROR(__xludf.DUMMYFUNCTION("""COMPUTED_VALUE"""),34.4550372)</f>
        <v>34.4550372</v>
      </c>
      <c r="AZ2" s="2">
        <f ca="1">IFERROR(__xludf.DUMMYFUNCTION("""COMPUTED_VALUE"""),34.0116176)</f>
        <v>34.011617600000001</v>
      </c>
      <c r="BA2" s="2">
        <f ca="1">IFERROR(__xludf.DUMMYFUNCTION("""COMPUTED_VALUE"""),33.5681979)</f>
        <v>33.568197900000001</v>
      </c>
      <c r="BB2" s="2">
        <f ca="1">IFERROR(__xludf.DUMMYFUNCTION("""COMPUTED_VALUE"""),33.1247783)</f>
        <v>33.124778300000003</v>
      </c>
      <c r="BC2" s="2">
        <f ca="1">IFERROR(__xludf.DUMMYFUNCTION("""COMPUTED_VALUE"""),32.6813586)</f>
        <v>32.681358600000003</v>
      </c>
      <c r="BD2" s="2">
        <f ca="1">IFERROR(__xludf.DUMMYFUNCTION("""COMPUTED_VALUE"""),32.237939)</f>
        <v>32.237938999999997</v>
      </c>
      <c r="BE2" s="2">
        <f ca="1">IFERROR(__xludf.DUMMYFUNCTION("""COMPUTED_VALUE"""),31.7945193)</f>
        <v>31.794519300000001</v>
      </c>
      <c r="BF2" s="2">
        <f ca="1">IFERROR(__xludf.DUMMYFUNCTION("""COMPUTED_VALUE"""),31.3510997)</f>
        <v>31.351099699999999</v>
      </c>
      <c r="BG2" s="2">
        <f ca="1">IFERROR(__xludf.DUMMYFUNCTION("""COMPUTED_VALUE"""),30.90768)</f>
        <v>30.907679999999999</v>
      </c>
      <c r="BH2" s="2">
        <f ca="1">IFERROR(__xludf.DUMMYFUNCTION("""COMPUTED_VALUE"""),30.4642604)</f>
        <v>30.464260400000001</v>
      </c>
      <c r="BI2" s="2">
        <f ca="1">IFERROR(__xludf.DUMMYFUNCTION("""COMPUTED_VALUE"""),30.0208407)</f>
        <v>30.020840700000001</v>
      </c>
      <c r="BJ2" s="2">
        <f ca="1">IFERROR(__xludf.DUMMYFUNCTION("""COMPUTED_VALUE"""),29.5774211)</f>
        <v>29.577421099999999</v>
      </c>
      <c r="BK2" s="2">
        <f ca="1">IFERROR(__xludf.DUMMYFUNCTION("""COMPUTED_VALUE"""),29.1340014)</f>
        <v>29.134001399999999</v>
      </c>
      <c r="BL2" s="2">
        <f ca="1">IFERROR(__xludf.DUMMYFUNCTION("""COMPUTED_VALUE"""),28.6905818)</f>
        <v>28.6905818</v>
      </c>
      <c r="BM2" s="2">
        <f ca="1">IFERROR(__xludf.DUMMYFUNCTION("""COMPUTED_VALUE"""),28.2471621)</f>
        <v>28.247162100000001</v>
      </c>
      <c r="BN2" s="2">
        <f ca="1">IFERROR(__xludf.DUMMYFUNCTION("""COMPUTED_VALUE"""),27.8037425)</f>
        <v>27.803742499999998</v>
      </c>
      <c r="BO2" s="2">
        <f ca="1">IFERROR(__xludf.DUMMYFUNCTION("""COMPUTED_VALUE"""),15.0762681)</f>
        <v>15.0762681</v>
      </c>
      <c r="BP2" s="2" t="b">
        <f ca="1">IFERROR(__xludf.DUMMYFUNCTION("""COMPUTED_VALUE"""),TRUE)</f>
        <v>1</v>
      </c>
      <c r="BQ2" s="2"/>
      <c r="BR2" s="2"/>
      <c r="BS2" s="2"/>
      <c r="BT2" s="2"/>
      <c r="BU2" s="2"/>
      <c r="BV2" s="2"/>
      <c r="BW2" s="2"/>
    </row>
    <row r="3" spans="1:75" ht="12.75" customHeight="1" x14ac:dyDescent="0.35">
      <c r="A3" s="1" t="s">
        <v>3</v>
      </c>
      <c r="B3" s="2">
        <v>70.145988599999995</v>
      </c>
      <c r="C3" s="2">
        <v>69.529022400000002</v>
      </c>
      <c r="D3" s="2">
        <v>68.912056100000001</v>
      </c>
      <c r="E3" s="2">
        <v>68.295089899999994</v>
      </c>
      <c r="F3" s="2">
        <v>67.678123600000006</v>
      </c>
      <c r="G3" s="2">
        <v>67.061157399999999</v>
      </c>
      <c r="H3" s="2">
        <v>66.444191099999998</v>
      </c>
      <c r="I3" s="2">
        <v>65.827224900000004</v>
      </c>
      <c r="J3" s="2">
        <v>65.210258699999997</v>
      </c>
      <c r="K3" s="2">
        <v>64.593292399999996</v>
      </c>
      <c r="L3" s="2">
        <v>63.976326200000003</v>
      </c>
      <c r="M3" s="2">
        <v>63.678605900000001</v>
      </c>
      <c r="N3" s="2">
        <v>63.380885599999999</v>
      </c>
      <c r="O3" s="2">
        <v>63.083165299999997</v>
      </c>
      <c r="P3" s="2">
        <v>62.785445000000003</v>
      </c>
      <c r="Q3" s="2">
        <v>62.487724700000001</v>
      </c>
      <c r="R3" s="2">
        <v>62.190004399999999</v>
      </c>
      <c r="S3" s="2">
        <v>61.892284099999998</v>
      </c>
      <c r="T3" s="2">
        <v>61.594563800000003</v>
      </c>
      <c r="U3" s="2">
        <v>61.296843500000001</v>
      </c>
      <c r="V3" s="2">
        <v>60.9991232</v>
      </c>
      <c r="W3" s="2">
        <v>60.485664200000002</v>
      </c>
      <c r="X3" s="2">
        <v>59.972205199999998</v>
      </c>
      <c r="Y3" s="2">
        <v>59.4587462</v>
      </c>
      <c r="Z3" s="2">
        <v>58.945287200000003</v>
      </c>
      <c r="AA3" s="2">
        <v>58.431828099999997</v>
      </c>
      <c r="AB3" s="2">
        <v>57.9430075</v>
      </c>
      <c r="AC3" s="2">
        <v>57.453748400000002</v>
      </c>
      <c r="AD3" s="2">
        <v>56.964927699999997</v>
      </c>
      <c r="AE3" s="2">
        <v>56.475668599999999</v>
      </c>
      <c r="AF3" s="2">
        <v>55.986409500000001</v>
      </c>
      <c r="AG3" s="3">
        <v>14.159579099999995</v>
      </c>
      <c r="AH3" s="2" t="b">
        <v>0</v>
      </c>
      <c r="AI3" s="2" t="str">
        <f ca="1">IFERROR(__xludf.DUMMYFUNCTION("""COMPUTED_VALUE"""),"Brazil")</f>
        <v>Brazil</v>
      </c>
      <c r="AJ3" s="2">
        <f ca="1">IFERROR(__xludf.DUMMYFUNCTION("""COMPUTED_VALUE"""),70.4580206)</f>
        <v>70.458020599999998</v>
      </c>
      <c r="AK3" s="2">
        <f ca="1">IFERROR(__xludf.DUMMYFUNCTION("""COMPUTED_VALUE"""),70.0056544)</f>
        <v>70.005654399999997</v>
      </c>
      <c r="AL3" s="2">
        <f ca="1">IFERROR(__xludf.DUMMYFUNCTION("""COMPUTED_VALUE"""),69.5532882)</f>
        <v>69.553288199999997</v>
      </c>
      <c r="AM3" s="2">
        <f ca="1">IFERROR(__xludf.DUMMYFUNCTION("""COMPUTED_VALUE"""),69.100922)</f>
        <v>69.100921999999997</v>
      </c>
      <c r="AN3" s="2">
        <f ca="1">IFERROR(__xludf.DUMMYFUNCTION("""COMPUTED_VALUE"""),68.6485558)</f>
        <v>68.648555799999997</v>
      </c>
      <c r="AO3" s="2">
        <f ca="1">IFERROR(__xludf.DUMMYFUNCTION("""COMPUTED_VALUE"""),68.1961896)</f>
        <v>68.196189599999997</v>
      </c>
      <c r="AP3" s="2">
        <f ca="1">IFERROR(__xludf.DUMMYFUNCTION("""COMPUTED_VALUE"""),67.7438234)</f>
        <v>67.743823399999997</v>
      </c>
      <c r="AQ3" s="2">
        <f ca="1">IFERROR(__xludf.DUMMYFUNCTION("""COMPUTED_VALUE"""),67.2914572)</f>
        <v>67.291457199999996</v>
      </c>
      <c r="AR3" s="2">
        <f ca="1">IFERROR(__xludf.DUMMYFUNCTION("""COMPUTED_VALUE"""),66.839091)</f>
        <v>66.839090999999996</v>
      </c>
      <c r="AS3" s="2">
        <f ca="1">IFERROR(__xludf.DUMMYFUNCTION("""COMPUTED_VALUE"""),66.3867248)</f>
        <v>66.386724799999996</v>
      </c>
      <c r="AT3" s="2">
        <f ca="1">IFERROR(__xludf.DUMMYFUNCTION("""COMPUTED_VALUE"""),65.9343586)</f>
        <v>65.934358599999996</v>
      </c>
      <c r="AU3" s="2">
        <f ca="1">IFERROR(__xludf.DUMMYFUNCTION("""COMPUTED_VALUE"""),65.4616709)</f>
        <v>65.461670900000001</v>
      </c>
      <c r="AV3" s="2">
        <f ca="1">IFERROR(__xludf.DUMMYFUNCTION("""COMPUTED_VALUE"""),64.9889832)</f>
        <v>64.988983200000007</v>
      </c>
      <c r="AW3" s="2">
        <f ca="1">IFERROR(__xludf.DUMMYFUNCTION("""COMPUTED_VALUE"""),64.5162955)</f>
        <v>64.516295499999998</v>
      </c>
      <c r="AX3" s="2">
        <f ca="1">IFERROR(__xludf.DUMMYFUNCTION("""COMPUTED_VALUE"""),64.0436078)</f>
        <v>64.043607800000004</v>
      </c>
      <c r="AY3" s="2">
        <f ca="1">IFERROR(__xludf.DUMMYFUNCTION("""COMPUTED_VALUE"""),63.5709201)</f>
        <v>63.570920100000002</v>
      </c>
      <c r="AZ3" s="2">
        <f ca="1">IFERROR(__xludf.DUMMYFUNCTION("""COMPUTED_VALUE"""),63.0982324)</f>
        <v>63.098232400000001</v>
      </c>
      <c r="BA3" s="2">
        <f ca="1">IFERROR(__xludf.DUMMYFUNCTION("""COMPUTED_VALUE"""),62.6255447)</f>
        <v>62.625544699999999</v>
      </c>
      <c r="BB3" s="2">
        <f ca="1">IFERROR(__xludf.DUMMYFUNCTION("""COMPUTED_VALUE"""),62.152857)</f>
        <v>62.152856999999997</v>
      </c>
      <c r="BC3" s="2">
        <f ca="1">IFERROR(__xludf.DUMMYFUNCTION("""COMPUTED_VALUE"""),61.6801693)</f>
        <v>61.680169300000003</v>
      </c>
      <c r="BD3" s="2">
        <f ca="1">IFERROR(__xludf.DUMMYFUNCTION("""COMPUTED_VALUE"""),61.2074816)</f>
        <v>61.207481600000001</v>
      </c>
      <c r="BE3" s="2">
        <f ca="1">IFERROR(__xludf.DUMMYFUNCTION("""COMPUTED_VALUE"""),61.0233282)</f>
        <v>61.023328200000002</v>
      </c>
      <c r="BF3" s="2">
        <f ca="1">IFERROR(__xludf.DUMMYFUNCTION("""COMPUTED_VALUE"""),60.8391747)</f>
        <v>60.839174700000001</v>
      </c>
      <c r="BG3" s="2">
        <f ca="1">IFERROR(__xludf.DUMMYFUNCTION("""COMPUTED_VALUE"""),60.6550213)</f>
        <v>60.655021300000001</v>
      </c>
      <c r="BH3" s="2">
        <f ca="1">IFERROR(__xludf.DUMMYFUNCTION("""COMPUTED_VALUE"""),60.4708679)</f>
        <v>60.470867900000002</v>
      </c>
      <c r="BI3" s="2">
        <f ca="1">IFERROR(__xludf.DUMMYFUNCTION("""COMPUTED_VALUE"""),60.2867145)</f>
        <v>60.286714500000002</v>
      </c>
      <c r="BJ3" s="2">
        <f ca="1">IFERROR(__xludf.DUMMYFUNCTION("""COMPUTED_VALUE"""),60.0710326)</f>
        <v>60.071032600000002</v>
      </c>
      <c r="BK3" s="2">
        <f ca="1">IFERROR(__xludf.DUMMYFUNCTION("""COMPUTED_VALUE"""),59.8328815)</f>
        <v>59.832881499999999</v>
      </c>
      <c r="BL3" s="2">
        <f ca="1">IFERROR(__xludf.DUMMYFUNCTION("""COMPUTED_VALUE"""),59.708428)</f>
        <v>59.708427999999998</v>
      </c>
      <c r="BM3" s="2">
        <f ca="1">IFERROR(__xludf.DUMMYFUNCTION("""COMPUTED_VALUE"""),59.5585262)</f>
        <v>59.558526200000003</v>
      </c>
      <c r="BN3" s="2">
        <f ca="1">IFERROR(__xludf.DUMMYFUNCTION("""COMPUTED_VALUE"""),59.4174781)</f>
        <v>59.417478099999997</v>
      </c>
      <c r="BO3" s="2">
        <f ca="1">IFERROR(__xludf.DUMMYFUNCTION("""COMPUTED_VALUE"""),11.0405425)</f>
        <v>11.040542500000001</v>
      </c>
      <c r="BP3" s="2" t="b">
        <f ca="1">IFERROR(__xludf.DUMMYFUNCTION("""COMPUTED_VALUE"""),TRUE)</f>
        <v>1</v>
      </c>
      <c r="BQ3" s="2"/>
      <c r="BR3" s="2"/>
      <c r="BS3" s="2"/>
      <c r="BT3" s="2"/>
      <c r="BU3" s="2"/>
      <c r="BV3" s="2"/>
      <c r="BW3" s="2"/>
    </row>
    <row r="4" spans="1:75" ht="12.75" customHeight="1" x14ac:dyDescent="0.35">
      <c r="A4" s="1" t="s">
        <v>4</v>
      </c>
      <c r="B4" s="2">
        <v>70.458020599999998</v>
      </c>
      <c r="C4" s="2">
        <v>70.005654399999997</v>
      </c>
      <c r="D4" s="2">
        <v>69.553288199999997</v>
      </c>
      <c r="E4" s="2">
        <v>69.100921999999997</v>
      </c>
      <c r="F4" s="2">
        <v>68.648555799999997</v>
      </c>
      <c r="G4" s="2">
        <v>68.196189599999997</v>
      </c>
      <c r="H4" s="2">
        <v>67.743823399999997</v>
      </c>
      <c r="I4" s="2">
        <v>67.291457199999996</v>
      </c>
      <c r="J4" s="2">
        <v>66.839090999999996</v>
      </c>
      <c r="K4" s="2">
        <v>66.386724799999996</v>
      </c>
      <c r="L4" s="2">
        <v>65.934358599999996</v>
      </c>
      <c r="M4" s="2">
        <v>65.461670900000001</v>
      </c>
      <c r="N4" s="2">
        <v>64.988983200000007</v>
      </c>
      <c r="O4" s="2">
        <v>64.516295499999998</v>
      </c>
      <c r="P4" s="2">
        <v>64.043607800000004</v>
      </c>
      <c r="Q4" s="2">
        <v>63.570920100000002</v>
      </c>
      <c r="R4" s="2">
        <v>63.098232400000001</v>
      </c>
      <c r="S4" s="2">
        <v>62.625544699999999</v>
      </c>
      <c r="T4" s="2">
        <v>62.152856999999997</v>
      </c>
      <c r="U4" s="2">
        <v>61.680169300000003</v>
      </c>
      <c r="V4" s="2">
        <v>61.207481600000001</v>
      </c>
      <c r="W4" s="2">
        <v>61.023328200000002</v>
      </c>
      <c r="X4" s="2">
        <v>60.839174700000001</v>
      </c>
      <c r="Y4" s="2">
        <v>60.655021300000001</v>
      </c>
      <c r="Z4" s="2">
        <v>60.470867900000002</v>
      </c>
      <c r="AA4" s="2">
        <v>60.286714500000002</v>
      </c>
      <c r="AB4" s="2">
        <v>60.071032600000002</v>
      </c>
      <c r="AC4" s="2">
        <v>59.832881499999999</v>
      </c>
      <c r="AD4" s="2">
        <v>59.708427999999998</v>
      </c>
      <c r="AE4" s="2">
        <v>59.558526200000003</v>
      </c>
      <c r="AF4" s="2">
        <v>59.417478099999997</v>
      </c>
      <c r="AG4" s="3">
        <v>11.040542500000001</v>
      </c>
      <c r="AH4" s="2" t="b">
        <v>1</v>
      </c>
      <c r="AI4" s="2" t="str">
        <f ca="1">IFERROR(__xludf.DUMMYFUNCTION("""COMPUTED_VALUE"""),"Africa Eastern and Southern")</f>
        <v>Africa Eastern and Southern</v>
      </c>
      <c r="AJ4" s="2">
        <f ca="1">IFERROR(__xludf.DUMMYFUNCTION("""COMPUTED_VALUE"""),40.565912)</f>
        <v>40.565911999999997</v>
      </c>
      <c r="AK4" s="2">
        <f ca="1">IFERROR(__xludf.DUMMYFUNCTION("""COMPUTED_VALUE"""),40.4039464)</f>
        <v>40.403946400000002</v>
      </c>
      <c r="AL4" s="2">
        <f ca="1">IFERROR(__xludf.DUMMYFUNCTION("""COMPUTED_VALUE"""),40.2358067)</f>
        <v>40.235806699999998</v>
      </c>
      <c r="AM4" s="2">
        <f ca="1">IFERROR(__xludf.DUMMYFUNCTION("""COMPUTED_VALUE"""),40.26969)</f>
        <v>40.269689999999997</v>
      </c>
      <c r="AN4" s="2">
        <f ca="1">IFERROR(__xludf.DUMMYFUNCTION("""COMPUTED_VALUE"""),40.1032704)</f>
        <v>40.1032704</v>
      </c>
      <c r="AO4" s="2">
        <f ca="1">IFERROR(__xludf.DUMMYFUNCTION("""COMPUTED_VALUE"""),39.9368508)</f>
        <v>39.936850800000002</v>
      </c>
      <c r="AP4" s="2">
        <f ca="1">IFERROR(__xludf.DUMMYFUNCTION("""COMPUTED_VALUE"""),39.7704312)</f>
        <v>39.770431199999997</v>
      </c>
      <c r="AQ4" s="2">
        <f ca="1">IFERROR(__xludf.DUMMYFUNCTION("""COMPUTED_VALUE"""),39.6040116)</f>
        <v>39.6040116</v>
      </c>
      <c r="AR4" s="2">
        <f ca="1">IFERROR(__xludf.DUMMYFUNCTION("""COMPUTED_VALUE"""),39.437592)</f>
        <v>39.437592000000002</v>
      </c>
      <c r="AS4" s="2">
        <f ca="1">IFERROR(__xludf.DUMMYFUNCTION("""COMPUTED_VALUE"""),39.2711724)</f>
        <v>39.271172399999998</v>
      </c>
      <c r="AT4" s="2">
        <f ca="1">IFERROR(__xludf.DUMMYFUNCTION("""COMPUTED_VALUE"""),33.9806315)</f>
        <v>33.980631500000001</v>
      </c>
      <c r="AU4" s="2">
        <f ca="1">IFERROR(__xludf.DUMMYFUNCTION("""COMPUTED_VALUE"""),38.9039801)</f>
        <v>38.903980099999998</v>
      </c>
      <c r="AV4" s="2">
        <f ca="1">IFERROR(__xludf.DUMMYFUNCTION("""COMPUTED_VALUE"""),38.7032073)</f>
        <v>38.703207300000003</v>
      </c>
      <c r="AW4" s="2">
        <f ca="1">IFERROR(__xludf.DUMMYFUNCTION("""COMPUTED_VALUE"""),38.5024346)</f>
        <v>38.502434600000001</v>
      </c>
      <c r="AX4" s="2">
        <f ca="1">IFERROR(__xludf.DUMMYFUNCTION("""COMPUTED_VALUE"""),37.8999508)</f>
        <v>37.899950799999999</v>
      </c>
      <c r="AY4" s="2">
        <f ca="1">IFERROR(__xludf.DUMMYFUNCTION("""COMPUTED_VALUE"""),37.7011203)</f>
        <v>37.701120299999999</v>
      </c>
      <c r="AZ4" s="2">
        <f ca="1">IFERROR(__xludf.DUMMYFUNCTION("""COMPUTED_VALUE"""),37.5024645)</f>
        <v>37.502464500000002</v>
      </c>
      <c r="BA4" s="2">
        <f ca="1">IFERROR(__xludf.DUMMYFUNCTION("""COMPUTED_VALUE"""),37.3038802)</f>
        <v>37.303880200000002</v>
      </c>
      <c r="BB4" s="2">
        <f ca="1">IFERROR(__xludf.DUMMYFUNCTION("""COMPUTED_VALUE"""),37.1052594)</f>
        <v>37.105259400000001</v>
      </c>
      <c r="BC4" s="2">
        <f ca="1">IFERROR(__xludf.DUMMYFUNCTION("""COMPUTED_VALUE"""),36.9065957)</f>
        <v>36.906595699999997</v>
      </c>
      <c r="BD4" s="2">
        <f ca="1">IFERROR(__xludf.DUMMYFUNCTION("""COMPUTED_VALUE"""),31.9108779)</f>
        <v>31.910877899999999</v>
      </c>
      <c r="BE4" s="2">
        <f ca="1">IFERROR(__xludf.DUMMYFUNCTION("""COMPUTED_VALUE"""),32.1831348)</f>
        <v>32.183134799999998</v>
      </c>
      <c r="BF4" s="2">
        <f ca="1">IFERROR(__xludf.DUMMYFUNCTION("""COMPUTED_VALUE"""),31.9724923)</f>
        <v>31.972492299999999</v>
      </c>
      <c r="BG4" s="2">
        <f ca="1">IFERROR(__xludf.DUMMYFUNCTION("""COMPUTED_VALUE"""),31.7618417)</f>
        <v>31.761841700000002</v>
      </c>
      <c r="BH4" s="2">
        <f ca="1">IFERROR(__xludf.DUMMYFUNCTION("""COMPUTED_VALUE"""),31.5512701)</f>
        <v>31.5512701</v>
      </c>
      <c r="BI4" s="2">
        <f ca="1">IFERROR(__xludf.DUMMYFUNCTION("""COMPUTED_VALUE"""),31.3405256)</f>
        <v>31.340525599999999</v>
      </c>
      <c r="BJ4" s="2">
        <f ca="1">IFERROR(__xludf.DUMMYFUNCTION("""COMPUTED_VALUE"""),31.1194314)</f>
        <v>31.1194314</v>
      </c>
      <c r="BK4" s="2">
        <f ca="1">IFERROR(__xludf.DUMMYFUNCTION("""COMPUTED_VALUE"""),30.9035429)</f>
        <v>30.903542900000001</v>
      </c>
      <c r="BL4" s="2">
        <f ca="1">IFERROR(__xludf.DUMMYFUNCTION("""COMPUTED_VALUE"""),30.6902243)</f>
        <v>30.690224300000001</v>
      </c>
      <c r="BM4" s="2">
        <f ca="1">IFERROR(__xludf.DUMMYFUNCTION("""COMPUTED_VALUE"""),30.4697983)</f>
        <v>30.469798300000001</v>
      </c>
      <c r="BN4" s="2">
        <f ca="1">IFERROR(__xludf.DUMMYFUNCTION("""COMPUTED_VALUE"""),30.2517858)</f>
        <v>30.2517858</v>
      </c>
      <c r="BO4" s="2">
        <f ca="1">IFERROR(__xludf.DUMMYFUNCTION("""COMPUTED_VALUE"""),10.3141261999999)</f>
        <v>10.314126199999899</v>
      </c>
      <c r="BP4" s="2" t="b">
        <f ca="1">IFERROR(__xludf.DUMMYFUNCTION("""COMPUTED_VALUE"""),TRUE)</f>
        <v>1</v>
      </c>
      <c r="BQ4" s="2"/>
      <c r="BR4" s="2"/>
      <c r="BS4" s="2"/>
      <c r="BT4" s="2"/>
      <c r="BU4" s="2"/>
      <c r="BV4" s="2"/>
      <c r="BW4" s="2"/>
    </row>
    <row r="5" spans="1:75" ht="12.75" customHeight="1" x14ac:dyDescent="0.35">
      <c r="A5" s="1" t="s">
        <v>5</v>
      </c>
      <c r="B5" s="2">
        <v>40.565911999999997</v>
      </c>
      <c r="C5" s="2">
        <v>40.403946400000002</v>
      </c>
      <c r="D5" s="2">
        <v>40.235806699999998</v>
      </c>
      <c r="E5" s="2">
        <v>40.269689999999997</v>
      </c>
      <c r="F5" s="2">
        <v>40.1032704</v>
      </c>
      <c r="G5" s="2">
        <v>39.936850800000002</v>
      </c>
      <c r="H5" s="2">
        <v>39.770431199999997</v>
      </c>
      <c r="I5" s="2">
        <v>39.6040116</v>
      </c>
      <c r="J5" s="2">
        <v>39.437592000000002</v>
      </c>
      <c r="K5" s="2">
        <v>39.271172399999998</v>
      </c>
      <c r="L5" s="2">
        <v>33.980631500000001</v>
      </c>
      <c r="M5" s="2">
        <v>38.903980099999998</v>
      </c>
      <c r="N5" s="2">
        <v>38.703207300000003</v>
      </c>
      <c r="O5" s="2">
        <v>38.502434600000001</v>
      </c>
      <c r="P5" s="2">
        <v>37.899950799999999</v>
      </c>
      <c r="Q5" s="2">
        <v>37.701120299999999</v>
      </c>
      <c r="R5" s="2">
        <v>37.502464500000002</v>
      </c>
      <c r="S5" s="2">
        <v>37.303880200000002</v>
      </c>
      <c r="T5" s="2">
        <v>37.105259400000001</v>
      </c>
      <c r="U5" s="2">
        <v>36.906595699999997</v>
      </c>
      <c r="V5" s="2">
        <v>31.910877899999999</v>
      </c>
      <c r="W5" s="2">
        <v>32.183134799999998</v>
      </c>
      <c r="X5" s="2">
        <v>31.972492299999999</v>
      </c>
      <c r="Y5" s="2">
        <v>31.761841700000002</v>
      </c>
      <c r="Z5" s="2">
        <v>31.5512701</v>
      </c>
      <c r="AA5" s="2">
        <v>31.340525599999999</v>
      </c>
      <c r="AB5" s="2">
        <v>31.1194314</v>
      </c>
      <c r="AC5" s="2">
        <v>30.903542900000001</v>
      </c>
      <c r="AD5" s="2">
        <v>30.690224300000001</v>
      </c>
      <c r="AE5" s="2">
        <v>30.469798300000001</v>
      </c>
      <c r="AF5" s="2">
        <v>30.2517858</v>
      </c>
      <c r="AG5" s="3">
        <v>10.314126199999997</v>
      </c>
      <c r="AH5" s="2" t="b">
        <v>1</v>
      </c>
      <c r="AI5" s="2" t="str">
        <f ca="1">IFERROR(__xludf.DUMMYFUNCTION("""COMPUTED_VALUE"""),"Angola")</f>
        <v>Angola</v>
      </c>
      <c r="AJ5" s="2">
        <f ca="1">IFERROR(__xludf.DUMMYFUNCTION("""COMPUTED_VALUE"""),63.5780701)</f>
        <v>63.578070099999998</v>
      </c>
      <c r="AK5" s="2">
        <f ca="1">IFERROR(__xludf.DUMMYFUNCTION("""COMPUTED_VALUE"""),63.4534074)</f>
        <v>63.453407400000003</v>
      </c>
      <c r="AL5" s="2">
        <f ca="1">IFERROR(__xludf.DUMMYFUNCTION("""COMPUTED_VALUE"""),63.3287447)</f>
        <v>63.328744700000001</v>
      </c>
      <c r="AM5" s="2">
        <f ca="1">IFERROR(__xludf.DUMMYFUNCTION("""COMPUTED_VALUE"""),63.204082)</f>
        <v>63.204082</v>
      </c>
      <c r="AN5" s="2">
        <f ca="1">IFERROR(__xludf.DUMMYFUNCTION("""COMPUTED_VALUE"""),63.0794193)</f>
        <v>63.079419299999998</v>
      </c>
      <c r="AO5" s="2">
        <f ca="1">IFERROR(__xludf.DUMMYFUNCTION("""COMPUTED_VALUE"""),62.9547566)</f>
        <v>62.954756600000003</v>
      </c>
      <c r="AP5" s="2">
        <f ca="1">IFERROR(__xludf.DUMMYFUNCTION("""COMPUTED_VALUE"""),62.8300938)</f>
        <v>62.8300938</v>
      </c>
      <c r="AQ5" s="2">
        <f ca="1">IFERROR(__xludf.DUMMYFUNCTION("""COMPUTED_VALUE"""),62.7054311)</f>
        <v>62.705431099999998</v>
      </c>
      <c r="AR5" s="2">
        <f ca="1">IFERROR(__xludf.DUMMYFUNCTION("""COMPUTED_VALUE"""),62.5807684)</f>
        <v>62.580768399999997</v>
      </c>
      <c r="AS5" s="2">
        <f ca="1">IFERROR(__xludf.DUMMYFUNCTION("""COMPUTED_VALUE"""),62.4561057)</f>
        <v>62.456105700000002</v>
      </c>
      <c r="AT5" s="2">
        <f ca="1">IFERROR(__xludf.DUMMYFUNCTION("""COMPUTED_VALUE"""),62.331443)</f>
        <v>62.331443</v>
      </c>
      <c r="AU5" s="2">
        <f ca="1">IFERROR(__xludf.DUMMYFUNCTION("""COMPUTED_VALUE"""),61.8862188)</f>
        <v>61.886218800000002</v>
      </c>
      <c r="AV5" s="2">
        <f ca="1">IFERROR(__xludf.DUMMYFUNCTION("""COMPUTED_VALUE"""),61.4409946)</f>
        <v>61.440994600000003</v>
      </c>
      <c r="AW5" s="2">
        <f ca="1">IFERROR(__xludf.DUMMYFUNCTION("""COMPUTED_VALUE"""),60.9957704)</f>
        <v>60.995770399999998</v>
      </c>
      <c r="AX5" s="2">
        <f ca="1">IFERROR(__xludf.DUMMYFUNCTION("""COMPUTED_VALUE"""),60.5505462)</f>
        <v>60.550546199999999</v>
      </c>
      <c r="AY5" s="2">
        <f ca="1">IFERROR(__xludf.DUMMYFUNCTION("""COMPUTED_VALUE"""),60.1053221)</f>
        <v>60.105322100000002</v>
      </c>
      <c r="AZ5" s="2">
        <f ca="1">IFERROR(__xludf.DUMMYFUNCTION("""COMPUTED_VALUE"""),59.6600979)</f>
        <v>59.660097899999997</v>
      </c>
      <c r="BA5" s="2">
        <f ca="1">IFERROR(__xludf.DUMMYFUNCTION("""COMPUTED_VALUE"""),59.2148737)</f>
        <v>59.214873699999998</v>
      </c>
      <c r="BB5" s="2">
        <f ca="1">IFERROR(__xludf.DUMMYFUNCTION("""COMPUTED_VALUE"""),58.7696495)</f>
        <v>58.7696495</v>
      </c>
      <c r="BC5" s="2">
        <f ca="1">IFERROR(__xludf.DUMMYFUNCTION("""COMPUTED_VALUE"""),58.3244253)</f>
        <v>58.324425300000001</v>
      </c>
      <c r="BD5" s="2">
        <f ca="1">IFERROR(__xludf.DUMMYFUNCTION("""COMPUTED_VALUE"""),57.8792011)</f>
        <v>57.879201100000003</v>
      </c>
      <c r="BE5" s="2">
        <f ca="1">IFERROR(__xludf.DUMMYFUNCTION("""COMPUTED_VALUE"""),57.4339761)</f>
        <v>57.433976100000002</v>
      </c>
      <c r="BF5" s="2">
        <f ca="1">IFERROR(__xludf.DUMMYFUNCTION("""COMPUTED_VALUE"""),56.9887511)</f>
        <v>56.988751100000002</v>
      </c>
      <c r="BG5" s="2">
        <f ca="1">IFERROR(__xludf.DUMMYFUNCTION("""COMPUTED_VALUE"""),56.5435261)</f>
        <v>56.543526100000001</v>
      </c>
      <c r="BH5" s="2">
        <f ca="1">IFERROR(__xludf.DUMMYFUNCTION("""COMPUTED_VALUE"""),56.0983011)</f>
        <v>56.0983011</v>
      </c>
      <c r="BI5" s="2">
        <f ca="1">IFERROR(__xludf.DUMMYFUNCTION("""COMPUTED_VALUE"""),55.6530761)</f>
        <v>55.6530761</v>
      </c>
      <c r="BJ5" s="2">
        <f ca="1">IFERROR(__xludf.DUMMYFUNCTION("""COMPUTED_VALUE"""),55.2078447)</f>
        <v>55.207844700000003</v>
      </c>
      <c r="BK5" s="2">
        <f ca="1">IFERROR(__xludf.DUMMYFUNCTION("""COMPUTED_VALUE"""),54.7626293)</f>
        <v>54.7626293</v>
      </c>
      <c r="BL5" s="2">
        <f ca="1">IFERROR(__xludf.DUMMYFUNCTION("""COMPUTED_VALUE"""),54.317406)</f>
        <v>54.317405999999998</v>
      </c>
      <c r="BM5" s="2">
        <f ca="1">IFERROR(__xludf.DUMMYFUNCTION("""COMPUTED_VALUE"""),53.8721745)</f>
        <v>53.8721745</v>
      </c>
      <c r="BN5" s="2">
        <f ca="1">IFERROR(__xludf.DUMMYFUNCTION("""COMPUTED_VALUE"""),53.4269512)</f>
        <v>53.426951199999998</v>
      </c>
      <c r="BO5" s="2">
        <f ca="1">IFERROR(__xludf.DUMMYFUNCTION("""COMPUTED_VALUE"""),10.1511189)</f>
        <v>10.1511189</v>
      </c>
      <c r="BP5" s="2" t="b">
        <f ca="1">IFERROR(__xludf.DUMMYFUNCTION("""COMPUTED_VALUE"""),TRUE)</f>
        <v>1</v>
      </c>
      <c r="BQ5" s="2"/>
      <c r="BR5" s="2"/>
      <c r="BS5" s="2"/>
      <c r="BT5" s="2"/>
      <c r="BU5" s="2"/>
      <c r="BV5" s="2"/>
      <c r="BW5" s="2"/>
    </row>
    <row r="6" spans="1:75" ht="12.75" customHeight="1" x14ac:dyDescent="0.35">
      <c r="A6" s="1" t="s">
        <v>6</v>
      </c>
      <c r="B6" s="2">
        <v>63.578070099999998</v>
      </c>
      <c r="C6" s="2">
        <v>63.453407400000003</v>
      </c>
      <c r="D6" s="2">
        <v>63.328744700000001</v>
      </c>
      <c r="E6" s="2">
        <v>63.204082</v>
      </c>
      <c r="F6" s="2">
        <v>63.079419299999998</v>
      </c>
      <c r="G6" s="2">
        <v>62.954756600000003</v>
      </c>
      <c r="H6" s="2">
        <v>62.8300938</v>
      </c>
      <c r="I6" s="2">
        <v>62.705431099999998</v>
      </c>
      <c r="J6" s="2">
        <v>62.580768399999997</v>
      </c>
      <c r="K6" s="2">
        <v>62.456105700000002</v>
      </c>
      <c r="L6" s="2">
        <v>62.331443</v>
      </c>
      <c r="M6" s="2">
        <v>61.886218800000002</v>
      </c>
      <c r="N6" s="2">
        <v>61.440994600000003</v>
      </c>
      <c r="O6" s="2">
        <v>60.995770399999998</v>
      </c>
      <c r="P6" s="2">
        <v>60.550546199999999</v>
      </c>
      <c r="Q6" s="2">
        <v>60.105322100000002</v>
      </c>
      <c r="R6" s="2">
        <v>59.660097899999997</v>
      </c>
      <c r="S6" s="2">
        <v>59.214873699999998</v>
      </c>
      <c r="T6" s="2">
        <v>58.7696495</v>
      </c>
      <c r="U6" s="2">
        <v>58.324425300000001</v>
      </c>
      <c r="V6" s="2">
        <v>57.879201100000003</v>
      </c>
      <c r="W6" s="2">
        <v>57.433976100000002</v>
      </c>
      <c r="X6" s="2">
        <v>56.988751100000002</v>
      </c>
      <c r="Y6" s="2">
        <v>56.543526100000001</v>
      </c>
      <c r="Z6" s="2">
        <v>56.0983011</v>
      </c>
      <c r="AA6" s="2">
        <v>55.6530761</v>
      </c>
      <c r="AB6" s="2">
        <v>55.207844700000003</v>
      </c>
      <c r="AC6" s="2">
        <v>54.7626293</v>
      </c>
      <c r="AD6" s="2">
        <v>54.317405999999998</v>
      </c>
      <c r="AE6" s="2">
        <v>53.8721745</v>
      </c>
      <c r="AF6" s="2">
        <v>53.426951199999998</v>
      </c>
      <c r="AG6" s="3">
        <v>10.1511189</v>
      </c>
      <c r="AH6" s="2" t="b">
        <v>1</v>
      </c>
      <c r="AI6" s="2" t="str">
        <f ca="1">IFERROR(__xludf.DUMMYFUNCTION("""COMPUTED_VALUE"""),"Central African Republic")</f>
        <v>Central African Republic</v>
      </c>
      <c r="AJ6" s="2">
        <f ca="1">IFERROR(__xludf.DUMMYFUNCTION("""COMPUTED_VALUE"""),37.2451764)</f>
        <v>37.245176399999998</v>
      </c>
      <c r="AK6" s="2">
        <f ca="1">IFERROR(__xludf.DUMMYFUNCTION("""COMPUTED_VALUE"""),37.1970208)</f>
        <v>37.197020799999997</v>
      </c>
      <c r="AL6" s="2">
        <f ca="1">IFERROR(__xludf.DUMMYFUNCTION("""COMPUTED_VALUE"""),37.1488651)</f>
        <v>37.148865100000002</v>
      </c>
      <c r="AM6" s="2">
        <f ca="1">IFERROR(__xludf.DUMMYFUNCTION("""COMPUTED_VALUE"""),37.1007095)</f>
        <v>37.100709500000001</v>
      </c>
      <c r="AN6" s="2">
        <f ca="1">IFERROR(__xludf.DUMMYFUNCTION("""COMPUTED_VALUE"""),37.0525539)</f>
        <v>37.052553899999999</v>
      </c>
      <c r="AO6" s="2">
        <f ca="1">IFERROR(__xludf.DUMMYFUNCTION("""COMPUTED_VALUE"""),37.0043982)</f>
        <v>37.004398199999997</v>
      </c>
      <c r="AP6" s="2">
        <f ca="1">IFERROR(__xludf.DUMMYFUNCTION("""COMPUTED_VALUE"""),36.9562426)</f>
        <v>36.956242600000003</v>
      </c>
      <c r="AQ6" s="2">
        <f ca="1">IFERROR(__xludf.DUMMYFUNCTION("""COMPUTED_VALUE"""),36.9080869)</f>
        <v>36.908086900000001</v>
      </c>
      <c r="AR6" s="2">
        <f ca="1">IFERROR(__xludf.DUMMYFUNCTION("""COMPUTED_VALUE"""),36.8599313)</f>
        <v>36.8599313</v>
      </c>
      <c r="AS6" s="2">
        <f ca="1">IFERROR(__xludf.DUMMYFUNCTION("""COMPUTED_VALUE"""),36.8117757)</f>
        <v>36.811775699999998</v>
      </c>
      <c r="AT6" s="2">
        <f ca="1">IFERROR(__xludf.DUMMYFUNCTION("""COMPUTED_VALUE"""),36.76362)</f>
        <v>36.763620000000003</v>
      </c>
      <c r="AU6" s="2">
        <f ca="1">IFERROR(__xludf.DUMMYFUNCTION("""COMPUTED_VALUE"""),36.7154644)</f>
        <v>36.715464400000002</v>
      </c>
      <c r="AV6" s="2">
        <f ca="1">IFERROR(__xludf.DUMMYFUNCTION("""COMPUTED_VALUE"""),36.6673087)</f>
        <v>36.6673087</v>
      </c>
      <c r="AW6" s="2">
        <f ca="1">IFERROR(__xludf.DUMMYFUNCTION("""COMPUTED_VALUE"""),36.6191531)</f>
        <v>36.619153099999998</v>
      </c>
      <c r="AX6" s="2">
        <f ca="1">IFERROR(__xludf.DUMMYFUNCTION("""COMPUTED_VALUE"""),36.5709975)</f>
        <v>36.570997499999997</v>
      </c>
      <c r="AY6" s="2">
        <f ca="1">IFERROR(__xludf.DUMMYFUNCTION("""COMPUTED_VALUE"""),36.5228418)</f>
        <v>36.522841800000002</v>
      </c>
      <c r="AZ6" s="2">
        <f ca="1">IFERROR(__xludf.DUMMYFUNCTION("""COMPUTED_VALUE"""),36.4746862)</f>
        <v>36.474686200000001</v>
      </c>
      <c r="BA6" s="2">
        <f ca="1">IFERROR(__xludf.DUMMYFUNCTION("""COMPUTED_VALUE"""),36.4265305)</f>
        <v>36.426530499999998</v>
      </c>
      <c r="BB6" s="2">
        <f ca="1">IFERROR(__xludf.DUMMYFUNCTION("""COMPUTED_VALUE"""),36.3783749)</f>
        <v>36.378374899999997</v>
      </c>
      <c r="BC6" s="2">
        <f ca="1">IFERROR(__xludf.DUMMYFUNCTION("""COMPUTED_VALUE"""),36.3302193)</f>
        <v>36.330219300000003</v>
      </c>
      <c r="BD6" s="2">
        <f ca="1">IFERROR(__xludf.DUMMYFUNCTION("""COMPUTED_VALUE"""),36.2820636)</f>
        <v>36.282063600000001</v>
      </c>
      <c r="BE6" s="2">
        <f ca="1">IFERROR(__xludf.DUMMYFUNCTION("""COMPUTED_VALUE"""),36.233908)</f>
        <v>36.233908</v>
      </c>
      <c r="BF6" s="2">
        <f ca="1">IFERROR(__xludf.DUMMYFUNCTION("""COMPUTED_VALUE"""),36.1857524)</f>
        <v>36.185752399999998</v>
      </c>
      <c r="BG6" s="2">
        <f ca="1">IFERROR(__xludf.DUMMYFUNCTION("""COMPUTED_VALUE"""),36.1375967)</f>
        <v>36.137596700000003</v>
      </c>
      <c r="BH6" s="2">
        <f ca="1">IFERROR(__xludf.DUMMYFUNCTION("""COMPUTED_VALUE"""),36.0894411)</f>
        <v>36.089441100000002</v>
      </c>
      <c r="BI6" s="2">
        <f ca="1">IFERROR(__xludf.DUMMYFUNCTION("""COMPUTED_VALUE"""),36.0412854)</f>
        <v>36.0412854</v>
      </c>
      <c r="BJ6" s="2">
        <f ca="1">IFERROR(__xludf.DUMMYFUNCTION("""COMPUTED_VALUE"""),35.9931298)</f>
        <v>35.993129799999998</v>
      </c>
      <c r="BK6" s="2">
        <f ca="1">IFERROR(__xludf.DUMMYFUNCTION("""COMPUTED_VALUE"""),35.9449742)</f>
        <v>35.944974199999997</v>
      </c>
      <c r="BL6" s="2">
        <f ca="1">IFERROR(__xludf.DUMMYFUNCTION("""COMPUTED_VALUE"""),35.8968185)</f>
        <v>35.896818500000002</v>
      </c>
      <c r="BM6" s="2">
        <f ca="1">IFERROR(__xludf.DUMMYFUNCTION("""COMPUTED_VALUE"""),35.8486629)</f>
        <v>35.848662900000001</v>
      </c>
      <c r="BN6" s="2">
        <f ca="1">IFERROR(__xludf.DUMMYFUNCTION("""COMPUTED_VALUE"""),35.8005072)</f>
        <v>35.800507199999998</v>
      </c>
      <c r="BO6" s="2">
        <f ca="1">IFERROR(__xludf.DUMMYFUNCTION("""COMPUTED_VALUE"""),1.44466919999999)</f>
        <v>1.4446691999999901</v>
      </c>
      <c r="BP6" s="2" t="b">
        <f ca="1">IFERROR(__xludf.DUMMYFUNCTION("""COMPUTED_VALUE"""),TRUE)</f>
        <v>1</v>
      </c>
      <c r="BQ6" s="2"/>
      <c r="BR6" s="2"/>
      <c r="BS6" s="2"/>
      <c r="BT6" s="2"/>
      <c r="BU6" s="2"/>
      <c r="BV6" s="2"/>
      <c r="BW6" s="2"/>
    </row>
    <row r="7" spans="1:75" ht="12.75" customHeight="1" x14ac:dyDescent="0.35">
      <c r="A7" s="1" t="s">
        <v>7</v>
      </c>
      <c r="B7" s="2">
        <v>53.359844899999999</v>
      </c>
      <c r="C7" s="2">
        <v>53.110299099999999</v>
      </c>
      <c r="D7" s="2">
        <v>52.860753299999999</v>
      </c>
      <c r="E7" s="2">
        <v>52.611207399999998</v>
      </c>
      <c r="F7" s="2">
        <v>52.361661599999998</v>
      </c>
      <c r="G7" s="2">
        <v>52.112115799999998</v>
      </c>
      <c r="H7" s="2">
        <v>51.862569899999997</v>
      </c>
      <c r="I7" s="2">
        <v>51.613024099999997</v>
      </c>
      <c r="J7" s="2">
        <v>51.363478299999997</v>
      </c>
      <c r="K7" s="2">
        <v>51.113932400000003</v>
      </c>
      <c r="L7" s="2">
        <v>50.864386600000003</v>
      </c>
      <c r="M7" s="2">
        <v>50.678345800000002</v>
      </c>
      <c r="N7" s="2">
        <v>50.492305000000002</v>
      </c>
      <c r="O7" s="2">
        <v>50.306264200000001</v>
      </c>
      <c r="P7" s="2">
        <v>50.1202234</v>
      </c>
      <c r="Q7" s="2">
        <v>49.9341826</v>
      </c>
      <c r="R7" s="2">
        <v>49.748141799999999</v>
      </c>
      <c r="S7" s="2">
        <v>49.562100999999998</v>
      </c>
      <c r="T7" s="2">
        <v>49.376060199999998</v>
      </c>
      <c r="U7" s="2">
        <v>49.190019399999997</v>
      </c>
      <c r="V7" s="2">
        <v>49.003978600000003</v>
      </c>
      <c r="W7" s="2">
        <v>48.808503600000002</v>
      </c>
      <c r="X7" s="2">
        <v>48.613028700000001</v>
      </c>
      <c r="Y7" s="2">
        <v>48.4175538</v>
      </c>
      <c r="Z7" s="2">
        <v>48.222078799999998</v>
      </c>
      <c r="AA7" s="2">
        <v>48.026603899999998</v>
      </c>
      <c r="AB7" s="2">
        <v>47.7713283</v>
      </c>
      <c r="AC7" s="2">
        <v>47.532742499999998</v>
      </c>
      <c r="AD7" s="2">
        <v>47.3121388</v>
      </c>
      <c r="AE7" s="2">
        <v>47.109535700000002</v>
      </c>
      <c r="AF7" s="2">
        <v>46.924914600000001</v>
      </c>
      <c r="AG7" s="3">
        <v>6.4349302999999978</v>
      </c>
      <c r="AH7" s="2" t="b">
        <v>0</v>
      </c>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row>
    <row r="8" spans="1:75" ht="12.75" customHeight="1" x14ac:dyDescent="0.35">
      <c r="A8" s="1" t="s">
        <v>8</v>
      </c>
      <c r="B8" s="2">
        <v>33.1792917</v>
      </c>
      <c r="C8" s="2">
        <v>32.9705504</v>
      </c>
      <c r="D8" s="2">
        <v>32.761809</v>
      </c>
      <c r="E8" s="2">
        <v>32.553067599999999</v>
      </c>
      <c r="F8" s="2">
        <v>32.344326199999998</v>
      </c>
      <c r="G8" s="2">
        <v>32.135584799999997</v>
      </c>
      <c r="H8" s="2">
        <v>31.9268435</v>
      </c>
      <c r="I8" s="2">
        <v>31.718102099999999</v>
      </c>
      <c r="J8" s="2">
        <v>31.509360699999998</v>
      </c>
      <c r="K8" s="2">
        <v>31.300619300000001</v>
      </c>
      <c r="L8" s="2">
        <v>31.091878000000001</v>
      </c>
      <c r="M8" s="2">
        <v>30.8831366</v>
      </c>
      <c r="N8" s="2">
        <v>30.674395199999999</v>
      </c>
      <c r="O8" s="2">
        <v>30.465653799999998</v>
      </c>
      <c r="P8" s="2">
        <v>30.256912499999999</v>
      </c>
      <c r="Q8" s="2">
        <v>30.048171100000001</v>
      </c>
      <c r="R8" s="2">
        <v>29.8394297</v>
      </c>
      <c r="S8" s="2">
        <v>29.630688299999999</v>
      </c>
      <c r="T8" s="2">
        <v>29.421946999999999</v>
      </c>
      <c r="U8" s="2">
        <v>29.213205599999998</v>
      </c>
      <c r="V8" s="2">
        <v>29.004464200000001</v>
      </c>
      <c r="W8" s="2">
        <v>28.7957228</v>
      </c>
      <c r="X8" s="2">
        <v>28.5869815</v>
      </c>
      <c r="Y8" s="2">
        <v>28.378240099999999</v>
      </c>
      <c r="Z8" s="2">
        <v>28.169498699999998</v>
      </c>
      <c r="AA8" s="2">
        <v>27.960757300000001</v>
      </c>
      <c r="AB8" s="2">
        <v>27.752016000000001</v>
      </c>
      <c r="AC8" s="2">
        <v>27.5432746</v>
      </c>
      <c r="AD8" s="2">
        <v>27.334533199999999</v>
      </c>
      <c r="AE8" s="2">
        <v>27.125791799999998</v>
      </c>
      <c r="AF8" s="2">
        <v>26.917050400000001</v>
      </c>
      <c r="AG8" s="3">
        <v>6.2622412999999995</v>
      </c>
      <c r="AH8" s="2" t="b">
        <v>0</v>
      </c>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row>
    <row r="9" spans="1:75" ht="12.75" customHeight="1" x14ac:dyDescent="0.35">
      <c r="A9" s="1" t="s">
        <v>9</v>
      </c>
      <c r="B9" s="2">
        <v>78.368121400000007</v>
      </c>
      <c r="C9" s="2">
        <v>78.064516100000006</v>
      </c>
      <c r="D9" s="2">
        <v>77.760910800000005</v>
      </c>
      <c r="E9" s="2">
        <v>77.457305500000004</v>
      </c>
      <c r="F9" s="2">
        <v>77.153700200000003</v>
      </c>
      <c r="G9" s="2">
        <v>76.850094900000002</v>
      </c>
      <c r="H9" s="2">
        <v>76.546489600000001</v>
      </c>
      <c r="I9" s="2">
        <v>76.2428843</v>
      </c>
      <c r="J9" s="2">
        <v>75.939278900000005</v>
      </c>
      <c r="K9" s="2">
        <v>75.635673600000004</v>
      </c>
      <c r="L9" s="2">
        <v>75.332068300000003</v>
      </c>
      <c r="M9" s="2">
        <v>75.009487699999994</v>
      </c>
      <c r="N9" s="2">
        <v>74.686907000000005</v>
      </c>
      <c r="O9" s="2">
        <v>74.364326399999996</v>
      </c>
      <c r="P9" s="2">
        <v>74.041745700000007</v>
      </c>
      <c r="Q9" s="2">
        <v>73.719165099999998</v>
      </c>
      <c r="R9" s="2">
        <v>73.396584399999995</v>
      </c>
      <c r="S9" s="2">
        <v>73.0740038</v>
      </c>
      <c r="T9" s="2">
        <v>72.751423099999997</v>
      </c>
      <c r="U9" s="2">
        <v>72.428842500000002</v>
      </c>
      <c r="V9" s="2">
        <v>72.106261900000007</v>
      </c>
      <c r="W9" s="2">
        <v>72.106261900000007</v>
      </c>
      <c r="X9" s="2">
        <v>72.106261900000007</v>
      </c>
      <c r="Y9" s="2">
        <v>72.106261900000007</v>
      </c>
      <c r="Z9" s="2">
        <v>72.106261900000007</v>
      </c>
      <c r="AA9" s="2">
        <v>72.106261900000007</v>
      </c>
      <c r="AB9" s="2">
        <v>72.106261900000007</v>
      </c>
      <c r="AC9" s="2">
        <v>72.106261900000007</v>
      </c>
      <c r="AD9" s="2">
        <v>72.106261900000007</v>
      </c>
      <c r="AE9" s="2">
        <v>72.106261900000007</v>
      </c>
      <c r="AF9" s="2">
        <v>72.106261900000007</v>
      </c>
      <c r="AG9" s="3">
        <v>6.2618594999999999</v>
      </c>
      <c r="AH9" s="2" t="b">
        <v>0</v>
      </c>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row>
    <row r="10" spans="1:75" ht="12.75" customHeight="1" x14ac:dyDescent="0.35">
      <c r="A10" s="1" t="s">
        <v>10</v>
      </c>
      <c r="B10" s="2">
        <v>28.203947400000001</v>
      </c>
      <c r="C10" s="2">
        <v>28.0211623</v>
      </c>
      <c r="D10" s="2">
        <v>27.8383772</v>
      </c>
      <c r="E10" s="2">
        <v>27.6555921</v>
      </c>
      <c r="F10" s="2">
        <v>27.472807</v>
      </c>
      <c r="G10" s="2">
        <v>27.290021899999999</v>
      </c>
      <c r="H10" s="2">
        <v>27.107236799999999</v>
      </c>
      <c r="I10" s="2">
        <v>26.9244518</v>
      </c>
      <c r="J10" s="2">
        <v>26.7416667</v>
      </c>
      <c r="K10" s="2">
        <v>26.558881599999999</v>
      </c>
      <c r="L10" s="2">
        <v>26.376096499999999</v>
      </c>
      <c r="M10" s="2">
        <v>26.193348</v>
      </c>
      <c r="N10" s="2">
        <v>26.0105994</v>
      </c>
      <c r="O10" s="2">
        <v>25.827850900000001</v>
      </c>
      <c r="P10" s="2">
        <v>25.645102300000001</v>
      </c>
      <c r="Q10" s="2">
        <v>25.462353799999999</v>
      </c>
      <c r="R10" s="2">
        <v>25.2796053</v>
      </c>
      <c r="S10" s="2">
        <v>25.0968567</v>
      </c>
      <c r="T10" s="2">
        <v>24.914108200000001</v>
      </c>
      <c r="U10" s="2">
        <v>24.731359600000001</v>
      </c>
      <c r="V10" s="2">
        <v>24.548611099999999</v>
      </c>
      <c r="W10" s="2">
        <v>24.365789500000002</v>
      </c>
      <c r="X10" s="2">
        <v>24.1829678</v>
      </c>
      <c r="Y10" s="2">
        <v>24.0001462</v>
      </c>
      <c r="Z10" s="2">
        <v>23.817324599999999</v>
      </c>
      <c r="AA10" s="2">
        <v>23.634502900000001</v>
      </c>
      <c r="AB10" s="2">
        <v>23.451754399999999</v>
      </c>
      <c r="AC10" s="2">
        <v>23.269005799999999</v>
      </c>
      <c r="AD10" s="2">
        <v>23.0862573</v>
      </c>
      <c r="AE10" s="2">
        <v>22.903508800000001</v>
      </c>
      <c r="AF10" s="2">
        <v>22.720760200000001</v>
      </c>
      <c r="AG10" s="3">
        <v>5.4831871999999997</v>
      </c>
      <c r="AH10" s="2" t="b">
        <v>0</v>
      </c>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row>
    <row r="11" spans="1:75" ht="12.75" customHeight="1" x14ac:dyDescent="0.35">
      <c r="A11" s="1" t="s">
        <v>11</v>
      </c>
      <c r="B11" s="2">
        <v>90.35</v>
      </c>
      <c r="C11" s="2">
        <v>90.18</v>
      </c>
      <c r="D11" s="2">
        <v>90.01</v>
      </c>
      <c r="E11" s="2">
        <v>89.84</v>
      </c>
      <c r="F11" s="2">
        <v>89.67</v>
      </c>
      <c r="G11" s="2">
        <v>89.5</v>
      </c>
      <c r="H11" s="2">
        <v>89.33</v>
      </c>
      <c r="I11" s="2">
        <v>89.16</v>
      </c>
      <c r="J11" s="2">
        <v>88.99</v>
      </c>
      <c r="K11" s="2">
        <v>88.82</v>
      </c>
      <c r="L11" s="2">
        <v>88.65</v>
      </c>
      <c r="M11" s="2">
        <v>88.5</v>
      </c>
      <c r="N11" s="2">
        <v>88.35</v>
      </c>
      <c r="O11" s="2">
        <v>88.2</v>
      </c>
      <c r="P11" s="2">
        <v>88.05</v>
      </c>
      <c r="Q11" s="2">
        <v>87.9</v>
      </c>
      <c r="R11" s="2">
        <v>87.75</v>
      </c>
      <c r="S11" s="2">
        <v>87.6</v>
      </c>
      <c r="T11" s="2">
        <v>87.45</v>
      </c>
      <c r="U11" s="2">
        <v>87.3</v>
      </c>
      <c r="V11" s="2">
        <v>87.15</v>
      </c>
      <c r="W11" s="2">
        <v>87</v>
      </c>
      <c r="X11" s="2">
        <v>86.85</v>
      </c>
      <c r="Y11" s="2">
        <v>86.7</v>
      </c>
      <c r="Z11" s="2">
        <v>86.55</v>
      </c>
      <c r="AA11" s="2">
        <v>86.4</v>
      </c>
      <c r="AB11" s="2">
        <v>86.25</v>
      </c>
      <c r="AC11" s="2">
        <v>86.1</v>
      </c>
      <c r="AD11" s="2">
        <v>85.95</v>
      </c>
      <c r="AE11" s="2">
        <v>85.8</v>
      </c>
      <c r="AF11" s="2">
        <v>85.65</v>
      </c>
      <c r="AG11" s="3">
        <v>4.6999999999999886</v>
      </c>
      <c r="AH11" s="2" t="b">
        <v>0</v>
      </c>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row>
    <row r="12" spans="1:75" ht="12.75" customHeight="1" x14ac:dyDescent="0.35">
      <c r="A12" s="1" t="s">
        <v>12</v>
      </c>
      <c r="B12" s="2">
        <v>22.9772727</v>
      </c>
      <c r="C12" s="2">
        <v>22.827272700000002</v>
      </c>
      <c r="D12" s="2">
        <v>22.6772727</v>
      </c>
      <c r="E12" s="2">
        <v>22.527272700000001</v>
      </c>
      <c r="F12" s="2">
        <v>22.377272699999999</v>
      </c>
      <c r="G12" s="2">
        <v>22.2272727</v>
      </c>
      <c r="H12" s="2">
        <v>22.077272700000002</v>
      </c>
      <c r="I12" s="2">
        <v>21.9272727</v>
      </c>
      <c r="J12" s="2">
        <v>21.777272700000001</v>
      </c>
      <c r="K12" s="2">
        <v>21.627272699999999</v>
      </c>
      <c r="L12" s="2">
        <v>21.4772727</v>
      </c>
      <c r="M12" s="2">
        <v>21.324999999999999</v>
      </c>
      <c r="N12" s="2">
        <v>21.172727299999998</v>
      </c>
      <c r="O12" s="2">
        <v>21.0204545</v>
      </c>
      <c r="P12" s="2">
        <v>20.868181799999999</v>
      </c>
      <c r="Q12" s="2">
        <v>20.715909100000001</v>
      </c>
      <c r="R12" s="2">
        <v>20.5636364</v>
      </c>
      <c r="S12" s="2">
        <v>20.411363600000001</v>
      </c>
      <c r="T12" s="2">
        <v>20.2590909</v>
      </c>
      <c r="U12" s="2">
        <v>20.106818199999999</v>
      </c>
      <c r="V12" s="2">
        <v>19.954545499999998</v>
      </c>
      <c r="W12" s="2">
        <v>19.8045455</v>
      </c>
      <c r="X12" s="2">
        <v>19.654545500000001</v>
      </c>
      <c r="Y12" s="2">
        <v>19.504545499999999</v>
      </c>
      <c r="Z12" s="2">
        <v>19.3545455</v>
      </c>
      <c r="AA12" s="2">
        <v>19.204545499999998</v>
      </c>
      <c r="AB12" s="2">
        <v>19.045454500000002</v>
      </c>
      <c r="AC12" s="2">
        <v>18.909090899999999</v>
      </c>
      <c r="AD12" s="2">
        <v>18.75</v>
      </c>
      <c r="AE12" s="2">
        <v>18.590909100000001</v>
      </c>
      <c r="AF12" s="2">
        <v>18.454545499999998</v>
      </c>
      <c r="AG12" s="3">
        <v>4.5227272000000021</v>
      </c>
      <c r="AH12" s="2" t="b">
        <v>0</v>
      </c>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row>
    <row r="13" spans="1:75" ht="12.75" customHeight="1" x14ac:dyDescent="0.35">
      <c r="A13" s="1" t="s">
        <v>13</v>
      </c>
      <c r="B13" s="2">
        <v>22.7769081</v>
      </c>
      <c r="C13" s="2">
        <v>22.658745700000001</v>
      </c>
      <c r="D13" s="2">
        <v>22.5405832</v>
      </c>
      <c r="E13" s="2">
        <v>22.422420800000001</v>
      </c>
      <c r="F13" s="2">
        <v>22.304258300000001</v>
      </c>
      <c r="G13" s="2">
        <v>22.1860958</v>
      </c>
      <c r="H13" s="2">
        <v>22.067933400000001</v>
      </c>
      <c r="I13" s="2">
        <v>21.949770900000001</v>
      </c>
      <c r="J13" s="2">
        <v>21.831608500000002</v>
      </c>
      <c r="K13" s="2">
        <v>21.713446000000001</v>
      </c>
      <c r="L13" s="2">
        <v>21.595283500000001</v>
      </c>
      <c r="M13" s="2">
        <v>21.503156300000001</v>
      </c>
      <c r="N13" s="2">
        <v>21.4110291</v>
      </c>
      <c r="O13" s="2">
        <v>21.3189019</v>
      </c>
      <c r="P13" s="2">
        <v>21.2267747</v>
      </c>
      <c r="Q13" s="2">
        <v>21.1346475</v>
      </c>
      <c r="R13" s="2">
        <v>21.0425203</v>
      </c>
      <c r="S13" s="2">
        <v>20.950393099999999</v>
      </c>
      <c r="T13" s="2">
        <v>20.858265899999999</v>
      </c>
      <c r="U13" s="2">
        <v>20.766138699999999</v>
      </c>
      <c r="V13" s="2">
        <v>20.674011499999999</v>
      </c>
      <c r="W13" s="2">
        <v>20.586055399999999</v>
      </c>
      <c r="X13" s="2">
        <v>20.498099199999999</v>
      </c>
      <c r="Y13" s="2">
        <v>20.410143099999999</v>
      </c>
      <c r="Z13" s="2">
        <v>20.322186899999998</v>
      </c>
      <c r="AA13" s="2">
        <v>20.234230799999999</v>
      </c>
      <c r="AB13" s="2">
        <v>20.152610200000002</v>
      </c>
      <c r="AC13" s="2">
        <v>20.071327199999999</v>
      </c>
      <c r="AD13" s="2">
        <v>19.986099599999999</v>
      </c>
      <c r="AE13" s="2">
        <v>19.901214700000001</v>
      </c>
      <c r="AF13" s="2">
        <v>19.816762099999998</v>
      </c>
      <c r="AG13" s="3">
        <v>2.9601460000000017</v>
      </c>
      <c r="AH13" s="2" t="b">
        <v>0</v>
      </c>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row>
    <row r="14" spans="1:75" ht="12.75" customHeight="1" x14ac:dyDescent="0.35">
      <c r="A14" s="1" t="s">
        <v>14</v>
      </c>
      <c r="B14" s="2">
        <v>12.8637149</v>
      </c>
      <c r="C14" s="2">
        <v>12.796991999999999</v>
      </c>
      <c r="D14" s="2">
        <v>12.730269</v>
      </c>
      <c r="E14" s="2">
        <v>12.6635461</v>
      </c>
      <c r="F14" s="2">
        <v>12.596823199999999</v>
      </c>
      <c r="G14" s="2">
        <v>12.5301002</v>
      </c>
      <c r="H14" s="2">
        <v>12.463377299999999</v>
      </c>
      <c r="I14" s="2">
        <v>12.396654399999999</v>
      </c>
      <c r="J14" s="2">
        <v>12.3299314</v>
      </c>
      <c r="K14" s="2">
        <v>12.263208499999999</v>
      </c>
      <c r="L14" s="2">
        <v>12.1964855</v>
      </c>
      <c r="M14" s="2">
        <v>12.080871399999999</v>
      </c>
      <c r="N14" s="2">
        <v>11.965257299999999</v>
      </c>
      <c r="O14" s="2">
        <v>11.849643199999999</v>
      </c>
      <c r="P14" s="2">
        <v>11.734029100000001</v>
      </c>
      <c r="Q14" s="2">
        <v>11.618414899999999</v>
      </c>
      <c r="R14" s="2">
        <v>11.502800799999999</v>
      </c>
      <c r="S14" s="2">
        <v>11.387186700000001</v>
      </c>
      <c r="T14" s="2">
        <v>11.271572600000001</v>
      </c>
      <c r="U14" s="2">
        <v>11.155958500000001</v>
      </c>
      <c r="V14" s="2">
        <v>11.0403444</v>
      </c>
      <c r="W14" s="2">
        <v>10.9587129</v>
      </c>
      <c r="X14" s="2">
        <v>10.8770814</v>
      </c>
      <c r="Y14" s="2">
        <v>10.795450000000001</v>
      </c>
      <c r="Z14" s="2">
        <v>10.7138185</v>
      </c>
      <c r="AA14" s="2">
        <v>10.632187099999999</v>
      </c>
      <c r="AB14" s="2">
        <v>10.6003968</v>
      </c>
      <c r="AC14" s="2">
        <v>10.559836900000001</v>
      </c>
      <c r="AD14" s="2">
        <v>10.5203732</v>
      </c>
      <c r="AE14" s="2">
        <v>10.4801786</v>
      </c>
      <c r="AF14" s="2">
        <v>10.4407149</v>
      </c>
      <c r="AG14" s="3">
        <v>2.423</v>
      </c>
      <c r="AH14" s="2" t="b">
        <v>0</v>
      </c>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row>
    <row r="15" spans="1:75" ht="12.75" customHeight="1" x14ac:dyDescent="0.35">
      <c r="A15" s="1" t="s">
        <v>15</v>
      </c>
      <c r="B15" s="2">
        <v>37.245176399999998</v>
      </c>
      <c r="C15" s="2">
        <v>37.197020799999997</v>
      </c>
      <c r="D15" s="2">
        <v>37.148865100000002</v>
      </c>
      <c r="E15" s="2">
        <v>37.100709500000001</v>
      </c>
      <c r="F15" s="2">
        <v>37.052553899999999</v>
      </c>
      <c r="G15" s="2">
        <v>37.004398199999997</v>
      </c>
      <c r="H15" s="2">
        <v>36.956242600000003</v>
      </c>
      <c r="I15" s="2">
        <v>36.908086900000001</v>
      </c>
      <c r="J15" s="2">
        <v>36.8599313</v>
      </c>
      <c r="K15" s="2">
        <v>36.811775699999998</v>
      </c>
      <c r="L15" s="2">
        <v>36.763620000000003</v>
      </c>
      <c r="M15" s="2">
        <v>36.715464400000002</v>
      </c>
      <c r="N15" s="2">
        <v>36.6673087</v>
      </c>
      <c r="O15" s="2">
        <v>36.619153099999998</v>
      </c>
      <c r="P15" s="2">
        <v>36.570997499999997</v>
      </c>
      <c r="Q15" s="2">
        <v>36.522841800000002</v>
      </c>
      <c r="R15" s="2">
        <v>36.474686200000001</v>
      </c>
      <c r="S15" s="2">
        <v>36.426530499999998</v>
      </c>
      <c r="T15" s="2">
        <v>36.378374899999997</v>
      </c>
      <c r="U15" s="2">
        <v>36.330219300000003</v>
      </c>
      <c r="V15" s="2">
        <v>36.282063600000001</v>
      </c>
      <c r="W15" s="2">
        <v>36.233908</v>
      </c>
      <c r="X15" s="2">
        <v>36.185752399999998</v>
      </c>
      <c r="Y15" s="2">
        <v>36.137596700000003</v>
      </c>
      <c r="Z15" s="2">
        <v>36.089441100000002</v>
      </c>
      <c r="AA15" s="2">
        <v>36.0412854</v>
      </c>
      <c r="AB15" s="2">
        <v>35.993129799999998</v>
      </c>
      <c r="AC15" s="2">
        <v>35.944974199999997</v>
      </c>
      <c r="AD15" s="2">
        <v>35.896818500000002</v>
      </c>
      <c r="AE15" s="2">
        <v>35.848662900000001</v>
      </c>
      <c r="AF15" s="2">
        <v>35.800507199999998</v>
      </c>
      <c r="AG15" s="3">
        <v>1.4446691999999999</v>
      </c>
      <c r="AH15" s="2" t="b">
        <v>1</v>
      </c>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row>
    <row r="16" spans="1:75" ht="12.75" customHeight="1" x14ac:dyDescent="0.35">
      <c r="A16" s="1" t="s">
        <v>16</v>
      </c>
      <c r="B16" s="2">
        <v>23.2541133</v>
      </c>
      <c r="C16" s="2">
        <v>23.226081700000002</v>
      </c>
      <c r="D16" s="2">
        <v>23.198049999999999</v>
      </c>
      <c r="E16" s="2">
        <v>23.170018299999999</v>
      </c>
      <c r="F16" s="2">
        <v>23.141986599999999</v>
      </c>
      <c r="G16" s="2">
        <v>23.1139549</v>
      </c>
      <c r="H16" s="2">
        <v>23.0859232</v>
      </c>
      <c r="I16" s="2">
        <v>23.0578915</v>
      </c>
      <c r="J16" s="2">
        <v>23.029859800000001</v>
      </c>
      <c r="K16" s="2">
        <v>23.001828199999999</v>
      </c>
      <c r="L16" s="2">
        <v>22.037648600000001</v>
      </c>
      <c r="M16" s="2">
        <v>22.112186300000001</v>
      </c>
      <c r="N16" s="2">
        <v>22.1867239</v>
      </c>
      <c r="O16" s="2">
        <v>22.261261600000001</v>
      </c>
      <c r="P16" s="2">
        <v>22.3357992</v>
      </c>
      <c r="Q16" s="2">
        <v>22.410336900000001</v>
      </c>
      <c r="R16" s="2">
        <v>22.4848745</v>
      </c>
      <c r="S16" s="2">
        <v>22.559412200000001</v>
      </c>
      <c r="T16" s="2">
        <v>22.6339498</v>
      </c>
      <c r="U16" s="2">
        <v>22.7084875</v>
      </c>
      <c r="V16" s="2">
        <v>22.7830251</v>
      </c>
      <c r="W16" s="2">
        <v>22.7792602</v>
      </c>
      <c r="X16" s="2">
        <v>22.775495400000001</v>
      </c>
      <c r="Y16" s="2">
        <v>22.7717305</v>
      </c>
      <c r="Z16" s="2">
        <v>22.767965700000001</v>
      </c>
      <c r="AA16" s="2">
        <v>22.764200800000001</v>
      </c>
      <c r="AB16" s="2">
        <v>22.764200800000001</v>
      </c>
      <c r="AC16" s="2">
        <v>22.764200800000001</v>
      </c>
      <c r="AD16" s="2">
        <v>22.764200800000001</v>
      </c>
      <c r="AE16" s="2">
        <v>22.764200800000001</v>
      </c>
      <c r="AF16" s="2">
        <v>22.764200800000001</v>
      </c>
      <c r="AG16" s="3">
        <v>0.48991249999999908</v>
      </c>
      <c r="AH16" s="2" t="b">
        <v>0</v>
      </c>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row>
    <row r="17" spans="1:75" ht="12.75" customHeight="1" x14ac:dyDescent="0.35">
      <c r="A17" s="1" t="s">
        <v>17</v>
      </c>
      <c r="B17" s="2">
        <v>43.1640625</v>
      </c>
      <c r="C17" s="2">
        <v>43.066406299999997</v>
      </c>
      <c r="D17" s="2">
        <v>42.779882800000003</v>
      </c>
      <c r="E17" s="2">
        <v>42.587792999999998</v>
      </c>
      <c r="F17" s="2">
        <v>42.395703099999999</v>
      </c>
      <c r="G17" s="2">
        <v>42.203613300000001</v>
      </c>
      <c r="H17" s="2">
        <v>42.011523400000002</v>
      </c>
      <c r="I17" s="2">
        <v>41.819433600000004</v>
      </c>
      <c r="J17" s="2">
        <v>41.627343799999998</v>
      </c>
      <c r="K17" s="2">
        <v>41.435253899999999</v>
      </c>
      <c r="L17" s="2">
        <v>41.243164100000001</v>
      </c>
      <c r="M17" s="2">
        <v>41.2256055</v>
      </c>
      <c r="N17" s="2">
        <v>41.208046899999999</v>
      </c>
      <c r="O17" s="2">
        <v>41.190488299999998</v>
      </c>
      <c r="P17" s="2">
        <v>41.172929699999997</v>
      </c>
      <c r="Q17" s="2">
        <v>41.155371100000004</v>
      </c>
      <c r="R17" s="2">
        <v>41.137812500000003</v>
      </c>
      <c r="S17" s="2">
        <v>41.120253900000002</v>
      </c>
      <c r="T17" s="2">
        <v>41.102695300000001</v>
      </c>
      <c r="U17" s="2">
        <v>41.0851367</v>
      </c>
      <c r="V17" s="2">
        <v>41.067578099999999</v>
      </c>
      <c r="W17" s="2">
        <v>41.293515599999999</v>
      </c>
      <c r="X17" s="2">
        <v>41.5194531</v>
      </c>
      <c r="Y17" s="2">
        <v>41.7453906</v>
      </c>
      <c r="Z17" s="2">
        <v>41.971328100000001</v>
      </c>
      <c r="AA17" s="2">
        <v>42.197265600000001</v>
      </c>
      <c r="AB17" s="2">
        <v>42.509960900000003</v>
      </c>
      <c r="AC17" s="2">
        <v>42.7326172</v>
      </c>
      <c r="AD17" s="2">
        <v>42.7326172</v>
      </c>
      <c r="AE17" s="2">
        <v>42.7326172</v>
      </c>
      <c r="AF17" s="2">
        <v>42.7326172</v>
      </c>
      <c r="AG17" s="3">
        <v>0.43144530000000003</v>
      </c>
      <c r="AH17" s="2" t="b">
        <v>0</v>
      </c>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row>
    <row r="18" spans="1:75" ht="12.75" customHeight="1" x14ac:dyDescent="0.35">
      <c r="A18" s="1" t="s">
        <v>18</v>
      </c>
      <c r="B18" s="2">
        <v>14.752477499999999</v>
      </c>
      <c r="C18" s="2">
        <v>14.752476</v>
      </c>
      <c r="D18" s="2">
        <v>14.7524745</v>
      </c>
      <c r="E18" s="2">
        <v>14.752472900000001</v>
      </c>
      <c r="F18" s="2">
        <v>14.752471399999999</v>
      </c>
      <c r="G18" s="2">
        <v>14.7524698</v>
      </c>
      <c r="H18" s="2">
        <v>14.752469100000001</v>
      </c>
      <c r="I18" s="2">
        <v>14.7524675</v>
      </c>
      <c r="J18" s="2">
        <v>14.752466</v>
      </c>
      <c r="K18" s="2">
        <v>14.7524645</v>
      </c>
      <c r="L18" s="2">
        <v>14.752462899999999</v>
      </c>
      <c r="M18" s="2">
        <v>14.727890500000001</v>
      </c>
      <c r="N18" s="2">
        <v>14.703317999999999</v>
      </c>
      <c r="O18" s="2">
        <v>14.6787455</v>
      </c>
      <c r="P18" s="2">
        <v>14.654173</v>
      </c>
      <c r="Q18" s="2">
        <v>14.6296005</v>
      </c>
      <c r="R18" s="2">
        <v>14.605028000000001</v>
      </c>
      <c r="S18" s="2">
        <v>14.580455600000001</v>
      </c>
      <c r="T18" s="2">
        <v>14.555883100000001</v>
      </c>
      <c r="U18" s="2">
        <v>14.531309800000001</v>
      </c>
      <c r="V18" s="2">
        <v>14.5067377</v>
      </c>
      <c r="W18" s="2">
        <v>14.4991442</v>
      </c>
      <c r="X18" s="2">
        <v>14.491550999999999</v>
      </c>
      <c r="Y18" s="2">
        <v>14.4839579</v>
      </c>
      <c r="Z18" s="2">
        <v>14.476364800000001</v>
      </c>
      <c r="AA18" s="2">
        <v>14.4687716</v>
      </c>
      <c r="AB18" s="2">
        <v>14.4687716</v>
      </c>
      <c r="AC18" s="2">
        <v>14.4687716</v>
      </c>
      <c r="AD18" s="2">
        <v>14.4687716</v>
      </c>
      <c r="AE18" s="2">
        <v>14.4687716</v>
      </c>
      <c r="AF18" s="2">
        <v>14.4687716</v>
      </c>
      <c r="AG18" s="3">
        <v>0.28370589999999929</v>
      </c>
      <c r="AH18" s="2" t="b">
        <v>0</v>
      </c>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row>
    <row r="19" spans="1:75" ht="12.75" customHeight="1" x14ac:dyDescent="0.35">
      <c r="A19" s="1" t="s">
        <v>19</v>
      </c>
      <c r="B19" s="2">
        <v>11.766772</v>
      </c>
      <c r="C19" s="2">
        <v>11.752722199999999</v>
      </c>
      <c r="D19" s="2">
        <v>11.7426063</v>
      </c>
      <c r="E19" s="2">
        <v>11.735265200000001</v>
      </c>
      <c r="F19" s="2">
        <v>11.727924099999999</v>
      </c>
      <c r="G19" s="2">
        <v>11.720583100000001</v>
      </c>
      <c r="H19" s="2">
        <v>11.713241999999999</v>
      </c>
      <c r="I19" s="2">
        <v>11.7059009</v>
      </c>
      <c r="J19" s="2">
        <v>11.698559899999999</v>
      </c>
      <c r="K19" s="2">
        <v>11.6912188</v>
      </c>
      <c r="L19" s="2">
        <v>11.683877799999999</v>
      </c>
      <c r="M19" s="2">
        <v>11.6765718</v>
      </c>
      <c r="N19" s="2">
        <v>11.669265899999999</v>
      </c>
      <c r="O19" s="2">
        <v>11.661960000000001</v>
      </c>
      <c r="P19" s="2">
        <v>11.654654000000001</v>
      </c>
      <c r="Q19" s="2">
        <v>11.6473481</v>
      </c>
      <c r="R19" s="2">
        <v>11.640042100000001</v>
      </c>
      <c r="S19" s="2">
        <v>11.6327362</v>
      </c>
      <c r="T19" s="2">
        <v>11.6254303</v>
      </c>
      <c r="U19" s="2">
        <v>11.6181243</v>
      </c>
      <c r="V19" s="2">
        <v>11.610818399999999</v>
      </c>
      <c r="W19" s="2">
        <v>11.603512500000001</v>
      </c>
      <c r="X19" s="2">
        <v>11.596206499999999</v>
      </c>
      <c r="Y19" s="2">
        <v>11.588900600000001</v>
      </c>
      <c r="Z19" s="2">
        <v>11.5815947</v>
      </c>
      <c r="AA19" s="2">
        <v>11.5742887</v>
      </c>
      <c r="AB19" s="2">
        <v>11.566912500000001</v>
      </c>
      <c r="AC19" s="2">
        <v>11.559536400000001</v>
      </c>
      <c r="AD19" s="2">
        <v>11.552160199999999</v>
      </c>
      <c r="AE19" s="2">
        <v>11.544784</v>
      </c>
      <c r="AF19" s="2">
        <v>11.5374078</v>
      </c>
      <c r="AG19" s="3">
        <v>0.22936419999999913</v>
      </c>
      <c r="AH19" s="2" t="b">
        <v>0</v>
      </c>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row>
    <row r="20" spans="1:75" ht="12.75" customHeight="1" x14ac:dyDescent="0.35">
      <c r="A20" s="1" t="s">
        <v>20</v>
      </c>
      <c r="B20" s="2">
        <v>38.845511600000002</v>
      </c>
      <c r="C20" s="2">
        <v>38.840258599999999</v>
      </c>
      <c r="D20" s="2">
        <v>38.835005600000002</v>
      </c>
      <c r="E20" s="2">
        <v>38.829752599999999</v>
      </c>
      <c r="F20" s="2">
        <v>38.824499699999997</v>
      </c>
      <c r="G20" s="2">
        <v>38.819246700000001</v>
      </c>
      <c r="H20" s="2">
        <v>38.813993699999997</v>
      </c>
      <c r="I20" s="2">
        <v>38.808740800000002</v>
      </c>
      <c r="J20" s="2">
        <v>38.803487799999999</v>
      </c>
      <c r="K20" s="2">
        <v>38.798234800000003</v>
      </c>
      <c r="L20" s="2">
        <v>38.7929818</v>
      </c>
      <c r="M20" s="2">
        <v>38.787630700000001</v>
      </c>
      <c r="N20" s="2">
        <v>38.782279600000003</v>
      </c>
      <c r="O20" s="2">
        <v>38.776928499999997</v>
      </c>
      <c r="P20" s="2">
        <v>38.771577299999997</v>
      </c>
      <c r="Q20" s="2">
        <v>38.766226199999998</v>
      </c>
      <c r="R20" s="2">
        <v>38.7608751</v>
      </c>
      <c r="S20" s="2">
        <v>38.755524000000001</v>
      </c>
      <c r="T20" s="2">
        <v>38.750172800000001</v>
      </c>
      <c r="U20" s="2">
        <v>38.744821700000003</v>
      </c>
      <c r="V20" s="2">
        <v>38.739470599999997</v>
      </c>
      <c r="W20" s="2">
        <v>38.734864100000003</v>
      </c>
      <c r="X20" s="2">
        <v>38.730257600000002</v>
      </c>
      <c r="Y20" s="2">
        <v>38.7256511</v>
      </c>
      <c r="Z20" s="2">
        <v>38.721044599999999</v>
      </c>
      <c r="AA20" s="2">
        <v>38.716438099999998</v>
      </c>
      <c r="AB20" s="2">
        <v>38.712013399999996</v>
      </c>
      <c r="AC20" s="2">
        <v>38.707887599999999</v>
      </c>
      <c r="AD20" s="2">
        <v>38.703762900000001</v>
      </c>
      <c r="AE20" s="2">
        <v>38.699637199999998</v>
      </c>
      <c r="AF20" s="2">
        <v>38.6955125</v>
      </c>
      <c r="AG20" s="3" t="e">
        <v>#REF!</v>
      </c>
      <c r="AH20" s="2" t="b">
        <v>0</v>
      </c>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row>
    <row r="21" spans="1:75" ht="12.75" customHeight="1" x14ac:dyDescent="0.35">
      <c r="A21" s="1" t="s">
        <v>21</v>
      </c>
      <c r="B21" s="2">
        <v>17.427358999999999</v>
      </c>
      <c r="C21" s="2">
        <v>17.400438699999999</v>
      </c>
      <c r="D21" s="2">
        <v>17.373518300000001</v>
      </c>
      <c r="E21" s="2">
        <v>17.346598</v>
      </c>
      <c r="F21" s="2">
        <v>17.3196777</v>
      </c>
      <c r="G21" s="2">
        <v>17.292757399999999</v>
      </c>
      <c r="H21" s="2">
        <v>17.265837099999999</v>
      </c>
      <c r="I21" s="2">
        <v>17.238916700000001</v>
      </c>
      <c r="J21" s="2">
        <v>17.2119964</v>
      </c>
      <c r="K21" s="2">
        <v>17.1850761</v>
      </c>
      <c r="L21" s="2">
        <v>17.158155799999999</v>
      </c>
      <c r="M21" s="2">
        <v>17.128633399999998</v>
      </c>
      <c r="N21" s="2">
        <v>17.099110899999999</v>
      </c>
      <c r="O21" s="2">
        <v>17.069588499999998</v>
      </c>
      <c r="P21" s="2">
        <v>17.040066100000001</v>
      </c>
      <c r="Q21" s="2">
        <v>17.010543699999999</v>
      </c>
      <c r="R21" s="2">
        <v>16.981021299999998</v>
      </c>
      <c r="S21" s="2">
        <v>16.951498900000001</v>
      </c>
      <c r="T21" s="2">
        <v>16.9219765</v>
      </c>
      <c r="U21" s="2">
        <v>16.892454099999998</v>
      </c>
      <c r="V21" s="2">
        <v>16.862931700000001</v>
      </c>
      <c r="W21" s="2">
        <v>16.955310300000001</v>
      </c>
      <c r="X21" s="2">
        <v>17.0476888</v>
      </c>
      <c r="Y21" s="2">
        <v>17.1400674</v>
      </c>
      <c r="Z21" s="2">
        <v>17.232445999999999</v>
      </c>
      <c r="AA21" s="2">
        <v>17.324824599999999</v>
      </c>
      <c r="AB21" s="2">
        <v>17.425487700000001</v>
      </c>
      <c r="AC21" s="2">
        <v>17.422913600000001</v>
      </c>
      <c r="AD21" s="2">
        <v>17.421314599999999</v>
      </c>
      <c r="AE21" s="2">
        <v>17.421314599999999</v>
      </c>
      <c r="AF21" s="2">
        <v>17.421314599999999</v>
      </c>
      <c r="AG21" s="3">
        <v>6.0444000000003939E-3</v>
      </c>
      <c r="AH21" s="2" t="b">
        <v>0</v>
      </c>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row>
    <row r="22" spans="1:75" ht="12.75" customHeight="1" x14ac:dyDescent="0.35">
      <c r="A22" s="1"/>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row>
    <row r="23" spans="1:75" ht="12.75" customHeight="1" x14ac:dyDescent="0.35">
      <c r="A23" s="1"/>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row>
    <row r="24" spans="1:75" ht="12.75" customHeight="1" x14ac:dyDescent="0.35">
      <c r="A24" s="1"/>
      <c r="B24" s="2"/>
      <c r="C24" s="2"/>
      <c r="D24" s="2"/>
      <c r="E24" s="2"/>
      <c r="F24" s="2"/>
      <c r="G24" s="2"/>
      <c r="H24" s="2"/>
      <c r="I24" s="2"/>
      <c r="J24" s="2"/>
      <c r="K24" s="2"/>
      <c r="L24" s="2"/>
      <c r="M24" s="2"/>
      <c r="N24" s="2"/>
      <c r="O24" s="2"/>
      <c r="P24" s="2"/>
      <c r="Q24" s="2"/>
      <c r="R24" s="2"/>
      <c r="S24" s="2"/>
      <c r="T24" s="2">
        <f>SUM(T2:T21)</f>
        <v>751.01805860000002</v>
      </c>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row>
    <row r="25" spans="1:75" ht="12.75" customHeight="1" x14ac:dyDescent="0.35">
      <c r="A25" s="1"/>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row>
    <row r="26" spans="1:75" ht="12.75" customHeight="1" x14ac:dyDescent="0.35">
      <c r="A26" s="1"/>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row>
    <row r="27" spans="1:75" ht="12.75" customHeight="1" x14ac:dyDescent="0.35">
      <c r="A27" s="1"/>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row>
    <row r="28" spans="1:75" ht="12.75" customHeight="1" x14ac:dyDescent="0.35">
      <c r="A28" s="1"/>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row>
    <row r="29" spans="1:75" ht="12.75" customHeight="1" x14ac:dyDescent="0.35">
      <c r="A29" s="1"/>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row>
    <row r="30" spans="1:75" ht="12.75" customHeight="1" x14ac:dyDescent="0.35">
      <c r="A30" s="1"/>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row>
    <row r="31" spans="1:75" ht="12.75" customHeight="1" x14ac:dyDescent="0.35">
      <c r="A31" s="1"/>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row>
    <row r="32" spans="1:75" ht="12.75" customHeight="1" x14ac:dyDescent="0.35">
      <c r="A32" s="1"/>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row>
    <row r="33" spans="1:75" ht="12.75" customHeight="1" x14ac:dyDescent="0.35">
      <c r="A33" s="1"/>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row>
    <row r="34" spans="1:75" ht="12.75" customHeight="1" x14ac:dyDescent="0.35">
      <c r="A34" s="1"/>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row>
    <row r="35" spans="1:75" ht="12.75" customHeight="1" x14ac:dyDescent="0.35">
      <c r="A35" s="1"/>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row>
    <row r="36" spans="1:75" ht="12.75" customHeight="1" x14ac:dyDescent="0.35">
      <c r="A36" s="1"/>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row>
    <row r="37" spans="1:75" ht="12.75" customHeight="1" x14ac:dyDescent="0.35">
      <c r="A37" s="1"/>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row>
    <row r="38" spans="1:75" ht="12.75" customHeight="1" x14ac:dyDescent="0.35">
      <c r="A38" s="1"/>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row>
    <row r="39" spans="1:75" ht="12.75" customHeight="1" x14ac:dyDescent="0.35">
      <c r="A39" s="1"/>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row>
    <row r="40" spans="1:75" ht="12.75" customHeight="1" x14ac:dyDescent="0.35">
      <c r="A40" s="1"/>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row>
    <row r="41" spans="1:75" ht="12.75" customHeight="1" x14ac:dyDescent="0.35">
      <c r="A41" s="1"/>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row>
    <row r="42" spans="1:75" ht="12.75" customHeight="1" x14ac:dyDescent="0.35">
      <c r="A42" s="1"/>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row>
    <row r="43" spans="1:75" ht="12.75" customHeight="1" x14ac:dyDescent="0.35">
      <c r="A43" s="1"/>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row>
    <row r="44" spans="1:75" ht="12.75" customHeight="1" x14ac:dyDescent="0.35">
      <c r="A44" s="1"/>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row>
    <row r="45" spans="1:75" ht="12.75" customHeight="1" x14ac:dyDescent="0.35">
      <c r="A45" s="1"/>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row>
    <row r="46" spans="1:75" ht="12.75" customHeight="1" x14ac:dyDescent="0.35">
      <c r="A46" s="1"/>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row>
    <row r="47" spans="1:75" ht="12.75" customHeight="1" x14ac:dyDescent="0.35">
      <c r="A47" s="1"/>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row>
    <row r="48" spans="1:75" ht="12.75" customHeight="1" x14ac:dyDescent="0.35">
      <c r="A48" s="1"/>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row>
    <row r="49" spans="1:75" ht="12.75" customHeight="1" x14ac:dyDescent="0.35">
      <c r="A49" s="1"/>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row>
    <row r="50" spans="1:75" ht="12.75" customHeight="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row>
    <row r="51" spans="1:75" ht="12.75" customHeight="1" x14ac:dyDescent="0.35">
      <c r="A51" s="1"/>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row>
    <row r="52" spans="1:75" ht="12.75" customHeight="1" x14ac:dyDescent="0.35">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row>
    <row r="53" spans="1:75" ht="12.75" customHeight="1" x14ac:dyDescent="0.35">
      <c r="A53" s="1"/>
      <c r="B53" s="4"/>
      <c r="C53" s="4"/>
      <c r="D53" s="4"/>
      <c r="E53" s="4"/>
      <c r="F53" s="4"/>
      <c r="G53" s="4"/>
      <c r="H53" s="4"/>
      <c r="I53" s="4"/>
      <c r="J53" s="4"/>
      <c r="K53" s="4"/>
      <c r="L53" s="2"/>
      <c r="M53" s="4"/>
      <c r="N53" s="4"/>
      <c r="O53" s="4"/>
      <c r="P53" s="4"/>
      <c r="Q53" s="4"/>
      <c r="R53" s="4"/>
      <c r="S53" s="4"/>
      <c r="T53" s="4"/>
      <c r="U53" s="4"/>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row>
    <row r="54" spans="1:75" ht="12.75" customHeight="1" x14ac:dyDescent="0.35">
      <c r="A54" s="1"/>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row>
    <row r="55" spans="1:75" ht="12.75" customHeight="1" x14ac:dyDescent="0.35">
      <c r="A55" s="1"/>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row>
    <row r="56" spans="1:75" ht="12.75" customHeight="1" x14ac:dyDescent="0.35">
      <c r="A56" s="1"/>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row>
    <row r="57" spans="1:75" ht="12.75" customHeight="1" x14ac:dyDescent="0.35">
      <c r="A57" s="1"/>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row>
    <row r="58" spans="1:75" ht="12.75" customHeight="1" x14ac:dyDescent="0.35">
      <c r="A58" s="1"/>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row>
    <row r="59" spans="1:75" ht="12.75" customHeight="1" x14ac:dyDescent="0.35">
      <c r="A59" s="1"/>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row>
    <row r="60" spans="1:75" ht="12.75" customHeight="1" x14ac:dyDescent="0.35">
      <c r="A60" s="1"/>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row>
    <row r="61" spans="1:75" ht="12.75" customHeight="1" x14ac:dyDescent="0.35">
      <c r="A61" s="1"/>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row>
    <row r="62" spans="1:75" ht="12.75" customHeight="1" x14ac:dyDescent="0.35">
      <c r="A62" s="1"/>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row>
    <row r="63" spans="1:75" ht="12.75" customHeight="1" x14ac:dyDescent="0.35">
      <c r="A63" s="1"/>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row>
    <row r="64" spans="1:75" ht="12.75" customHeight="1" x14ac:dyDescent="0.35">
      <c r="A64" s="1"/>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row>
    <row r="65" spans="1:75" ht="12.75" customHeight="1" x14ac:dyDescent="0.35">
      <c r="A65" s="1"/>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row>
    <row r="66" spans="1:75" ht="12.75" customHeight="1" x14ac:dyDescent="0.35">
      <c r="A66" s="1"/>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row>
    <row r="67" spans="1:75" ht="12.75" customHeight="1" x14ac:dyDescent="0.35">
      <c r="A67" s="1"/>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row>
    <row r="68" spans="1:75" ht="12.75" customHeight="1" x14ac:dyDescent="0.35">
      <c r="A68" s="1"/>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row>
    <row r="69" spans="1:75" ht="12.75" customHeight="1" x14ac:dyDescent="0.35">
      <c r="A69" s="1"/>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row>
    <row r="70" spans="1:75" ht="12.75" customHeight="1" x14ac:dyDescent="0.35">
      <c r="A70" s="1"/>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row>
    <row r="71" spans="1:75" ht="12.75" customHeight="1" x14ac:dyDescent="0.35">
      <c r="A71" s="1"/>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row>
    <row r="72" spans="1:75" ht="12.75" customHeight="1" x14ac:dyDescent="0.35">
      <c r="A72" s="1"/>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row>
    <row r="73" spans="1:75" ht="12.75" customHeight="1" x14ac:dyDescent="0.35">
      <c r="A73" s="1"/>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row>
    <row r="74" spans="1:75" ht="12.75" customHeight="1" x14ac:dyDescent="0.35">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row>
    <row r="75" spans="1:75" ht="12.75" customHeight="1" x14ac:dyDescent="0.35">
      <c r="A75" s="1"/>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row>
    <row r="76" spans="1:75" ht="12.75" customHeight="1" x14ac:dyDescent="0.35">
      <c r="A76" s="1"/>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row>
    <row r="77" spans="1:75" ht="12.75" customHeight="1" x14ac:dyDescent="0.35">
      <c r="A77" s="1"/>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row>
    <row r="78" spans="1:75" ht="12.75" customHeight="1" x14ac:dyDescent="0.35">
      <c r="A78" s="1"/>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row>
    <row r="79" spans="1:75" ht="12.75" customHeight="1" x14ac:dyDescent="0.35">
      <c r="A79" s="1"/>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row>
    <row r="80" spans="1:75" ht="12.75" customHeight="1" x14ac:dyDescent="0.35">
      <c r="A80" s="1"/>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row>
    <row r="81" spans="1:75" ht="12.75" customHeight="1" x14ac:dyDescent="0.35">
      <c r="A81" s="1"/>
      <c r="B81" s="4"/>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row>
    <row r="82" spans="1:75" ht="12.75" customHeight="1" x14ac:dyDescent="0.35">
      <c r="A82" s="1"/>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row>
    <row r="83" spans="1:75" ht="12.75" customHeight="1" x14ac:dyDescent="0.35">
      <c r="A83" s="1"/>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row>
    <row r="84" spans="1:75" ht="12.75" customHeight="1" x14ac:dyDescent="0.35">
      <c r="A84" s="1"/>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row>
    <row r="85" spans="1:75" ht="12.75" customHeight="1" x14ac:dyDescent="0.35">
      <c r="A85" s="1"/>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row>
    <row r="86" spans="1:75" ht="12.75" customHeight="1" x14ac:dyDescent="0.35">
      <c r="A86" s="1"/>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row>
    <row r="87" spans="1:75" ht="12.75" customHeight="1" x14ac:dyDescent="0.35">
      <c r="A87" s="1"/>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row>
    <row r="88" spans="1:75" ht="12.75" customHeight="1" x14ac:dyDescent="0.35">
      <c r="A88" s="1"/>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row>
    <row r="89" spans="1:75" ht="12.75" customHeight="1" x14ac:dyDescent="0.35">
      <c r="A89" s="1"/>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row>
    <row r="90" spans="1:75" ht="12.75" customHeight="1" x14ac:dyDescent="0.35">
      <c r="A90" s="1"/>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row>
    <row r="91" spans="1:75" ht="12.75" customHeight="1" x14ac:dyDescent="0.35">
      <c r="A91" s="1"/>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row>
    <row r="92" spans="1:75" ht="12.75" customHeight="1" x14ac:dyDescent="0.35">
      <c r="A92" s="1"/>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row>
    <row r="93" spans="1:75" ht="12.75" customHeight="1" x14ac:dyDescent="0.35">
      <c r="A93" s="1"/>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row>
    <row r="94" spans="1:75" ht="12.75" customHeight="1" x14ac:dyDescent="0.35">
      <c r="A94" s="1"/>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row>
    <row r="95" spans="1:75" ht="12.75" customHeight="1" x14ac:dyDescent="0.35">
      <c r="A95" s="1"/>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row>
    <row r="96" spans="1:75" ht="12.75" customHeight="1" x14ac:dyDescent="0.35">
      <c r="A96" s="1"/>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row>
    <row r="97" spans="1:75" ht="12.75" customHeight="1" x14ac:dyDescent="0.35">
      <c r="A97" s="1"/>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row>
    <row r="98" spans="1:75" ht="12.75" customHeight="1" x14ac:dyDescent="0.35">
      <c r="A98" s="1"/>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row>
    <row r="99" spans="1:75" ht="12.75" customHeight="1" x14ac:dyDescent="0.35">
      <c r="A99" s="1"/>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row>
    <row r="100" spans="1:75" ht="12.75" customHeight="1" x14ac:dyDescent="0.3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row>
    <row r="101" spans="1:75" ht="12.75" customHeight="1" x14ac:dyDescent="0.3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row>
    <row r="102" spans="1:75" ht="12.75" customHeight="1" x14ac:dyDescent="0.3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row>
    <row r="103" spans="1:75" ht="12.75" customHeight="1" x14ac:dyDescent="0.3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row>
    <row r="104" spans="1:75" ht="12.75" customHeight="1" x14ac:dyDescent="0.3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row>
    <row r="105" spans="1:75" ht="12.75" customHeight="1" x14ac:dyDescent="0.3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row>
    <row r="106" spans="1:75" ht="12.75" customHeight="1" x14ac:dyDescent="0.3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row>
    <row r="107" spans="1:75" ht="12.75" customHeight="1" x14ac:dyDescent="0.3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row>
    <row r="108" spans="1:75" ht="12.75" customHeight="1" x14ac:dyDescent="0.3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row>
    <row r="109" spans="1:75" ht="12.75" customHeight="1" x14ac:dyDescent="0.3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row>
    <row r="110" spans="1:75" ht="12.75" customHeight="1" x14ac:dyDescent="0.3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row>
    <row r="111" spans="1:75" ht="12.75" customHeight="1" x14ac:dyDescent="0.3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row>
    <row r="112" spans="1:75" ht="12.75" customHeight="1" x14ac:dyDescent="0.35">
      <c r="A112" s="1"/>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row>
    <row r="113" spans="1:75" ht="12.75" customHeight="1" x14ac:dyDescent="0.3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row>
    <row r="114" spans="1:75" ht="12.75" customHeight="1" x14ac:dyDescent="0.3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row>
    <row r="115" spans="1:75" ht="12.75" customHeight="1" x14ac:dyDescent="0.3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row>
    <row r="116" spans="1:75" ht="12.75" customHeight="1" x14ac:dyDescent="0.3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row>
    <row r="117" spans="1:75" ht="12.75" customHeight="1" x14ac:dyDescent="0.3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row>
    <row r="118" spans="1:75" ht="12.75" customHeight="1" x14ac:dyDescent="0.3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row>
    <row r="119" spans="1:75" ht="12.75" customHeight="1" x14ac:dyDescent="0.3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row>
    <row r="120" spans="1:75" ht="12.75" customHeight="1" x14ac:dyDescent="0.3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row>
    <row r="121" spans="1:75" ht="12.75" customHeight="1" x14ac:dyDescent="0.3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row>
    <row r="122" spans="1:75" ht="12.75" customHeight="1" x14ac:dyDescent="0.3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row>
    <row r="123" spans="1:75" ht="12.75" customHeight="1" x14ac:dyDescent="0.3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row>
    <row r="124" spans="1:75" ht="12.75" customHeight="1" x14ac:dyDescent="0.3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row>
    <row r="125" spans="1:75" ht="12.75" customHeight="1" x14ac:dyDescent="0.3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row>
    <row r="126" spans="1:75" ht="12.75" customHeight="1" x14ac:dyDescent="0.3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row>
    <row r="127" spans="1:75" ht="12.75" customHeight="1" x14ac:dyDescent="0.3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row>
    <row r="128" spans="1:75" ht="12.75" customHeight="1" x14ac:dyDescent="0.3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row>
    <row r="129" spans="1:75" ht="12.75" customHeight="1" x14ac:dyDescent="0.3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row>
    <row r="130" spans="1:75" ht="12.75" customHeight="1" x14ac:dyDescent="0.3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row>
    <row r="131" spans="1:75" ht="12.75" customHeight="1" x14ac:dyDescent="0.3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row>
    <row r="132" spans="1:75" ht="12.75" customHeight="1" x14ac:dyDescent="0.3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row>
    <row r="133" spans="1:75" ht="12.75" customHeight="1" x14ac:dyDescent="0.3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row>
    <row r="134" spans="1:75" ht="12.75" customHeight="1" x14ac:dyDescent="0.3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row>
    <row r="135" spans="1:75" ht="12.75" customHeight="1" x14ac:dyDescent="0.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row>
    <row r="136" spans="1:75" ht="12.75" customHeight="1" x14ac:dyDescent="0.3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row>
    <row r="137" spans="1:75" ht="12.75" customHeight="1" x14ac:dyDescent="0.3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row>
    <row r="138" spans="1:75" ht="12.75" customHeight="1" x14ac:dyDescent="0.3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row>
    <row r="139" spans="1:75" ht="12.75" customHeight="1" x14ac:dyDescent="0.3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row>
    <row r="140" spans="1:75" ht="12.75" customHeight="1" x14ac:dyDescent="0.3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row>
    <row r="141" spans="1:75" ht="12.75" customHeight="1" x14ac:dyDescent="0.3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row>
    <row r="142" spans="1:75" ht="12.75" customHeight="1" x14ac:dyDescent="0.3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row>
    <row r="143" spans="1:75" ht="12.75" customHeight="1" x14ac:dyDescent="0.3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row>
    <row r="144" spans="1:75" ht="12.75" customHeight="1" x14ac:dyDescent="0.3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row>
    <row r="145" spans="1:75" ht="12.75" customHeight="1" x14ac:dyDescent="0.3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row>
    <row r="146" spans="1:75" ht="12.75" customHeight="1" x14ac:dyDescent="0.35">
      <c r="A146" s="1"/>
      <c r="B146" s="4"/>
      <c r="C146" s="4"/>
      <c r="D146" s="4"/>
      <c r="E146" s="4"/>
      <c r="F146" s="4"/>
      <c r="G146" s="4"/>
      <c r="H146" s="4"/>
      <c r="I146" s="4"/>
      <c r="J146" s="4"/>
      <c r="K146" s="4"/>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row>
    <row r="147" spans="1:75" ht="12.75" customHeight="1" x14ac:dyDescent="0.3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row>
    <row r="148" spans="1:75" ht="12.75" customHeight="1" x14ac:dyDescent="0.35">
      <c r="A148" s="1"/>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row>
    <row r="149" spans="1:75" ht="12.75" customHeight="1" x14ac:dyDescent="0.3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row>
    <row r="150" spans="1:75" ht="12.75" customHeight="1" x14ac:dyDescent="0.3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row>
    <row r="151" spans="1:75" ht="12.75" customHeight="1" x14ac:dyDescent="0.3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row>
    <row r="152" spans="1:75" ht="12.75" customHeight="1" x14ac:dyDescent="0.3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row>
    <row r="153" spans="1:75" ht="12.75" customHeight="1" x14ac:dyDescent="0.3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row>
    <row r="154" spans="1:75" ht="12.75" customHeight="1" x14ac:dyDescent="0.3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row>
    <row r="155" spans="1:75" ht="12.75" customHeight="1" x14ac:dyDescent="0.3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row>
    <row r="156" spans="1:75" ht="12.75" customHeight="1" x14ac:dyDescent="0.3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row>
    <row r="157" spans="1:75" ht="12.75" customHeight="1" x14ac:dyDescent="0.35">
      <c r="A157" s="1"/>
      <c r="B157" s="4"/>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row>
    <row r="158" spans="1:75" ht="12.75" customHeight="1" x14ac:dyDescent="0.3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row>
    <row r="159" spans="1:75" ht="12.75" customHeight="1" x14ac:dyDescent="0.3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row>
    <row r="160" spans="1:75" ht="12.75" customHeight="1" x14ac:dyDescent="0.3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row>
    <row r="161" spans="1:75" ht="12.75" customHeight="1" x14ac:dyDescent="0.3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row>
    <row r="162" spans="1:75" ht="12.75" customHeight="1" x14ac:dyDescent="0.3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row>
    <row r="163" spans="1:75" ht="12.75" customHeight="1" x14ac:dyDescent="0.3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row>
    <row r="164" spans="1:75" ht="12.75" customHeight="1" x14ac:dyDescent="0.3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row>
    <row r="165" spans="1:75" ht="12.75" customHeight="1" x14ac:dyDescent="0.3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row>
    <row r="166" spans="1:75" ht="12.75" customHeight="1" x14ac:dyDescent="0.35">
      <c r="A166" s="1"/>
      <c r="B166" s="4"/>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row>
    <row r="167" spans="1:75" ht="12.75" customHeight="1" x14ac:dyDescent="0.3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row>
    <row r="168" spans="1:75" ht="12.75" customHeight="1" x14ac:dyDescent="0.3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row>
    <row r="169" spans="1:75" ht="12.75" customHeight="1" x14ac:dyDescent="0.3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row>
    <row r="170" spans="1:75" ht="12.75" customHeight="1" x14ac:dyDescent="0.3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row>
    <row r="171" spans="1:75" ht="12.75" customHeight="1" x14ac:dyDescent="0.3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row>
    <row r="172" spans="1:75" ht="12.75" customHeight="1" x14ac:dyDescent="0.3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row>
    <row r="173" spans="1:75" ht="12.75" customHeight="1" x14ac:dyDescent="0.3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row>
    <row r="174" spans="1:75" ht="12.75" customHeight="1" x14ac:dyDescent="0.3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row>
    <row r="175" spans="1:75" ht="12.75" customHeight="1" x14ac:dyDescent="0.3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row>
    <row r="176" spans="1:75" ht="12.75" customHeight="1" x14ac:dyDescent="0.3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row>
    <row r="177" spans="1:75" ht="12.75" customHeight="1" x14ac:dyDescent="0.3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row>
    <row r="178" spans="1:75" ht="12.75" customHeight="1" x14ac:dyDescent="0.3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row>
    <row r="179" spans="1:75" ht="12.75" customHeight="1" x14ac:dyDescent="0.3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row>
    <row r="180" spans="1:75" ht="12.75" customHeight="1" x14ac:dyDescent="0.3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row>
    <row r="181" spans="1:75" ht="12.75" customHeight="1" x14ac:dyDescent="0.3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row>
    <row r="182" spans="1:75" ht="12.75" customHeight="1" x14ac:dyDescent="0.3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row>
    <row r="183" spans="1:75" ht="12.75" customHeight="1" x14ac:dyDescent="0.3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row>
    <row r="184" spans="1:75" ht="12.75" customHeight="1" x14ac:dyDescent="0.3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row>
    <row r="185" spans="1:75" ht="12.75" customHeight="1" x14ac:dyDescent="0.3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row>
    <row r="186" spans="1:75" ht="12.75" customHeight="1" x14ac:dyDescent="0.3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row>
    <row r="187" spans="1:75" ht="12.75" customHeight="1" x14ac:dyDescent="0.3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row>
    <row r="188" spans="1:75" ht="12.75" customHeight="1" x14ac:dyDescent="0.3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row>
    <row r="189" spans="1:75" ht="12.75" customHeight="1" x14ac:dyDescent="0.3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row>
    <row r="190" spans="1:75" ht="12.75" customHeight="1" x14ac:dyDescent="0.35">
      <c r="A190" s="1"/>
      <c r="B190" s="4"/>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row>
    <row r="191" spans="1:75" ht="12.75" customHeight="1" x14ac:dyDescent="0.3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row>
    <row r="192" spans="1:75" ht="12.75" customHeight="1" x14ac:dyDescent="0.3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row>
    <row r="193" spans="1:75" ht="12.75" customHeight="1" x14ac:dyDescent="0.3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row>
    <row r="194" spans="1:75" ht="12.75" customHeight="1" x14ac:dyDescent="0.3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row>
    <row r="195" spans="1:75" ht="12.75" customHeight="1" x14ac:dyDescent="0.3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row>
    <row r="196" spans="1:75" ht="12.75" customHeight="1" x14ac:dyDescent="0.3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row>
    <row r="197" spans="1:75" ht="12.75" customHeight="1" x14ac:dyDescent="0.3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row>
    <row r="198" spans="1:75" ht="12.75" customHeight="1" x14ac:dyDescent="0.3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row>
    <row r="199" spans="1:75" ht="12.75" customHeight="1" x14ac:dyDescent="0.3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row>
    <row r="200" spans="1:75" ht="12.75" customHeight="1" x14ac:dyDescent="0.3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row>
    <row r="201" spans="1:75" ht="12.75" customHeight="1" x14ac:dyDescent="0.3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row>
    <row r="202" spans="1:75" ht="12.75" customHeight="1" x14ac:dyDescent="0.3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row>
    <row r="203" spans="1:75" ht="12.75" customHeight="1" x14ac:dyDescent="0.3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row>
    <row r="204" spans="1:75" ht="12.75" customHeight="1" x14ac:dyDescent="0.3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row>
    <row r="205" spans="1:75" ht="12.75" customHeight="1" x14ac:dyDescent="0.3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row>
    <row r="206" spans="1:75" ht="12.75" customHeight="1" x14ac:dyDescent="0.3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row>
    <row r="207" spans="1:75" ht="12.75" customHeight="1" x14ac:dyDescent="0.3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row>
    <row r="208" spans="1:75" ht="12.75" customHeight="1" x14ac:dyDescent="0.35">
      <c r="A208" s="1"/>
      <c r="B208" s="4"/>
      <c r="C208" s="4"/>
      <c r="D208" s="4"/>
      <c r="E208" s="4"/>
      <c r="F208" s="4"/>
      <c r="G208" s="4"/>
      <c r="H208" s="4"/>
      <c r="I208" s="4"/>
      <c r="J208" s="4"/>
      <c r="K208" s="4"/>
      <c r="L208" s="2"/>
      <c r="M208" s="4"/>
      <c r="N208" s="4"/>
      <c r="O208" s="4"/>
      <c r="P208" s="4"/>
      <c r="Q208" s="4"/>
      <c r="R208" s="4"/>
      <c r="S208" s="4"/>
      <c r="T208" s="4"/>
      <c r="U208" s="4"/>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row>
    <row r="209" spans="1:75" ht="12.75" customHeight="1" x14ac:dyDescent="0.3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row>
    <row r="210" spans="1:75" ht="12.75" customHeight="1" x14ac:dyDescent="0.3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row>
    <row r="211" spans="1:75" ht="12.75" customHeight="1" x14ac:dyDescent="0.3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row>
    <row r="212" spans="1:75" ht="12.75" customHeight="1" x14ac:dyDescent="0.3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row>
    <row r="213" spans="1:75" ht="12.75" customHeight="1" x14ac:dyDescent="0.3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row>
    <row r="214" spans="1:75" ht="12.75" customHeight="1" x14ac:dyDescent="0.3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row>
    <row r="215" spans="1:75" ht="12.75" customHeight="1" x14ac:dyDescent="0.3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row>
    <row r="216" spans="1:75" ht="12.75" customHeight="1" x14ac:dyDescent="0.3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row>
    <row r="217" spans="1:75" ht="12.75" customHeight="1" x14ac:dyDescent="0.3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row>
    <row r="218" spans="1:75" ht="12.75" customHeight="1" x14ac:dyDescent="0.35">
      <c r="A218" s="1"/>
      <c r="B218" s="4"/>
      <c r="C218" s="4"/>
      <c r="D218" s="4"/>
      <c r="E218" s="4"/>
      <c r="F218" s="4"/>
      <c r="G218" s="4"/>
      <c r="H218" s="4"/>
      <c r="I218" s="4"/>
      <c r="J218" s="4"/>
      <c r="K218" s="4"/>
      <c r="L218" s="4"/>
      <c r="M218" s="4"/>
      <c r="N218" s="4"/>
      <c r="O218" s="4"/>
      <c r="P218" s="4"/>
      <c r="Q218" s="4"/>
      <c r="R218" s="4"/>
      <c r="S218" s="4"/>
      <c r="T218" s="4"/>
      <c r="U218" s="4"/>
      <c r="V218" s="4"/>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row>
    <row r="219" spans="1:75" ht="12.75" customHeight="1" x14ac:dyDescent="0.3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row>
    <row r="220" spans="1:75" ht="12.75" customHeight="1" x14ac:dyDescent="0.3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row>
    <row r="221" spans="1:75" ht="12.75" customHeight="1" x14ac:dyDescent="0.3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row>
    <row r="222" spans="1:75" ht="12.75" customHeight="1" x14ac:dyDescent="0.3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row>
    <row r="223" spans="1:75" ht="12.75" customHeight="1" x14ac:dyDescent="0.3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row>
    <row r="224" spans="1:75" ht="12.75" customHeight="1" x14ac:dyDescent="0.3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row>
    <row r="225" spans="1:75" ht="12.75" customHeight="1" x14ac:dyDescent="0.3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row>
    <row r="226" spans="1:75" ht="12.75" customHeight="1" x14ac:dyDescent="0.3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row>
    <row r="227" spans="1:75" ht="12.75" customHeight="1" x14ac:dyDescent="0.35">
      <c r="A227" s="1"/>
      <c r="B227" s="4"/>
      <c r="C227" s="4"/>
      <c r="D227" s="4"/>
      <c r="E227" s="4"/>
      <c r="F227" s="4"/>
      <c r="G227" s="4"/>
      <c r="H227" s="4"/>
      <c r="I227" s="4"/>
      <c r="J227" s="4"/>
      <c r="K227" s="4"/>
      <c r="L227" s="2"/>
      <c r="M227" s="4"/>
      <c r="N227" s="4"/>
      <c r="O227" s="4"/>
      <c r="P227" s="4"/>
      <c r="Q227" s="4"/>
      <c r="R227" s="4"/>
      <c r="S227" s="4"/>
      <c r="T227" s="4"/>
      <c r="U227" s="4"/>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row>
    <row r="228" spans="1:75" ht="12.75" customHeight="1" x14ac:dyDescent="0.3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row>
    <row r="229" spans="1:75" ht="12.75" customHeight="1" x14ac:dyDescent="0.3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row>
    <row r="230" spans="1:75" ht="12.75" customHeight="1" x14ac:dyDescent="0.3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row>
    <row r="231" spans="1:75" ht="12.75" customHeight="1" x14ac:dyDescent="0.3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row>
    <row r="232" spans="1:75" ht="12.75" customHeight="1" x14ac:dyDescent="0.3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row>
    <row r="233" spans="1:75" ht="12.75" customHeight="1" x14ac:dyDescent="0.3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row>
    <row r="234" spans="1:75" ht="12.75" customHeight="1" x14ac:dyDescent="0.3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row>
    <row r="235" spans="1:75" ht="12.75" customHeight="1" x14ac:dyDescent="0.3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row>
    <row r="236" spans="1:75" ht="12.75" customHeight="1" x14ac:dyDescent="0.3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row>
    <row r="237" spans="1:75" ht="12.75" customHeight="1" x14ac:dyDescent="0.3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row>
    <row r="238" spans="1:75" ht="12.75" customHeight="1" x14ac:dyDescent="0.3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row>
    <row r="239" spans="1:75" ht="12.75" customHeight="1" x14ac:dyDescent="0.3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row>
    <row r="240" spans="1:75" ht="12.75" customHeight="1" x14ac:dyDescent="0.3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row>
    <row r="241" spans="1:75" ht="12.75" customHeight="1" x14ac:dyDescent="0.3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row>
    <row r="242" spans="1:75" ht="12.75" customHeight="1" x14ac:dyDescent="0.3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row>
    <row r="243" spans="1:75" ht="12.75" customHeight="1" x14ac:dyDescent="0.3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row>
    <row r="244" spans="1:75" ht="12.75" customHeight="1" x14ac:dyDescent="0.3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row>
    <row r="245" spans="1:75" ht="12.75" customHeight="1" x14ac:dyDescent="0.3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row>
    <row r="246" spans="1:75" ht="12.75" customHeight="1" x14ac:dyDescent="0.3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row>
    <row r="247" spans="1:75" ht="12.75" customHeight="1" x14ac:dyDescent="0.3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row>
    <row r="248" spans="1:75" ht="12.75" customHeight="1" x14ac:dyDescent="0.3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row>
    <row r="249" spans="1:75" ht="12.75" customHeight="1" x14ac:dyDescent="0.3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row>
    <row r="250" spans="1:75" ht="12.75" customHeight="1" x14ac:dyDescent="0.3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row>
    <row r="251" spans="1:75" ht="12.75" customHeight="1" x14ac:dyDescent="0.3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row>
    <row r="252" spans="1:75" ht="12.75" customHeight="1" x14ac:dyDescent="0.3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row>
    <row r="253" spans="1:75" ht="12.75" customHeight="1" x14ac:dyDescent="0.3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row>
    <row r="254" spans="1:75" ht="12.75" customHeight="1" x14ac:dyDescent="0.3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row>
    <row r="255" spans="1:75" ht="12.75" customHeight="1" x14ac:dyDescent="0.3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row>
    <row r="256" spans="1:75" ht="12.75" customHeight="1" x14ac:dyDescent="0.3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row>
    <row r="257" spans="1:75" ht="12.75" customHeight="1" x14ac:dyDescent="0.3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row>
    <row r="258" spans="1:75" ht="12.75" customHeight="1" x14ac:dyDescent="0.3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row>
    <row r="259" spans="1:75" ht="12.75" customHeight="1" x14ac:dyDescent="0.3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row>
    <row r="260" spans="1:75" ht="12.75" customHeight="1" x14ac:dyDescent="0.3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row>
    <row r="261" spans="1:75" ht="12.75" customHeight="1" x14ac:dyDescent="0.3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row>
    <row r="262" spans="1:75" ht="12.75" customHeight="1" x14ac:dyDescent="0.3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row>
    <row r="263" spans="1:75" ht="12.75" customHeight="1" x14ac:dyDescent="0.35">
      <c r="A263" s="1"/>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row>
    <row r="264" spans="1:75" ht="12.75" customHeight="1" x14ac:dyDescent="0.3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row>
    <row r="265" spans="1:75" ht="12.75" customHeight="1" x14ac:dyDescent="0.3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row>
    <row r="266" spans="1:75" ht="12.75" customHeight="1" x14ac:dyDescent="0.3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row>
    <row r="267" spans="1:75" ht="12.75" customHeight="1" x14ac:dyDescent="0.3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row>
    <row r="268" spans="1:75" ht="12.75" customHeight="1" x14ac:dyDescent="0.35"/>
    <row r="269" spans="1:75" ht="12.75" customHeight="1" x14ac:dyDescent="0.35"/>
    <row r="270" spans="1:75" ht="12.75" customHeight="1" x14ac:dyDescent="0.35"/>
    <row r="271" spans="1:75" ht="12.75" customHeight="1" x14ac:dyDescent="0.35"/>
    <row r="272" spans="1:75" ht="12.75" customHeight="1" x14ac:dyDescent="0.35"/>
    <row r="273" ht="12.75" customHeight="1" x14ac:dyDescent="0.35"/>
    <row r="274" ht="12.75" customHeight="1" x14ac:dyDescent="0.35"/>
    <row r="275" ht="12.75" customHeight="1" x14ac:dyDescent="0.35"/>
    <row r="276" ht="12.75" customHeight="1" x14ac:dyDescent="0.35"/>
    <row r="277" ht="12.75" customHeight="1" x14ac:dyDescent="0.35"/>
    <row r="278" ht="12.75" customHeight="1" x14ac:dyDescent="0.35"/>
    <row r="279" ht="12.75" customHeight="1" x14ac:dyDescent="0.35"/>
    <row r="280" ht="12.75" customHeight="1" x14ac:dyDescent="0.35"/>
    <row r="281" ht="12.75" customHeight="1" x14ac:dyDescent="0.35"/>
    <row r="282" ht="12.75" customHeight="1" x14ac:dyDescent="0.35"/>
    <row r="283" ht="12.75" customHeight="1" x14ac:dyDescent="0.35"/>
    <row r="284" ht="12.75" customHeight="1" x14ac:dyDescent="0.35"/>
    <row r="285" ht="12.75" customHeight="1" x14ac:dyDescent="0.35"/>
    <row r="286" ht="12.75" customHeight="1" x14ac:dyDescent="0.35"/>
    <row r="287" ht="12.75" customHeight="1" x14ac:dyDescent="0.35"/>
    <row r="288" ht="12.75" customHeight="1" x14ac:dyDescent="0.35"/>
    <row r="289" ht="12.75" customHeight="1" x14ac:dyDescent="0.35"/>
    <row r="290" ht="12.75" customHeight="1" x14ac:dyDescent="0.35"/>
    <row r="291" ht="12.75" customHeight="1" x14ac:dyDescent="0.35"/>
    <row r="292" ht="12.75" customHeight="1" x14ac:dyDescent="0.35"/>
    <row r="293" ht="12.75" customHeight="1" x14ac:dyDescent="0.35"/>
    <row r="294" ht="12.75" customHeight="1" x14ac:dyDescent="0.35"/>
    <row r="295" ht="12.75" customHeight="1" x14ac:dyDescent="0.35"/>
    <row r="296" ht="12.75" customHeight="1" x14ac:dyDescent="0.35"/>
    <row r="297" ht="12.75" customHeight="1" x14ac:dyDescent="0.35"/>
    <row r="298" ht="12.75" customHeight="1" x14ac:dyDescent="0.35"/>
    <row r="299" ht="12.75" customHeight="1" x14ac:dyDescent="0.35"/>
    <row r="300" ht="12.75" customHeight="1" x14ac:dyDescent="0.35"/>
    <row r="301" ht="12.75" customHeight="1" x14ac:dyDescent="0.35"/>
    <row r="302" ht="12.75" customHeight="1" x14ac:dyDescent="0.35"/>
    <row r="303" ht="12.75" customHeight="1" x14ac:dyDescent="0.35"/>
    <row r="304" ht="12.75" customHeight="1" x14ac:dyDescent="0.35"/>
    <row r="305" ht="12.75" customHeight="1" x14ac:dyDescent="0.35"/>
    <row r="306" ht="12.75" customHeight="1" x14ac:dyDescent="0.35"/>
    <row r="307" ht="12.75" customHeight="1" x14ac:dyDescent="0.35"/>
    <row r="308" ht="12.75" customHeight="1" x14ac:dyDescent="0.35"/>
    <row r="309" ht="12.75" customHeight="1" x14ac:dyDescent="0.35"/>
    <row r="310" ht="12.75" customHeight="1" x14ac:dyDescent="0.35"/>
    <row r="311" ht="12.75" customHeight="1" x14ac:dyDescent="0.35"/>
    <row r="312" ht="12.75" customHeight="1" x14ac:dyDescent="0.35"/>
    <row r="313" ht="12.75" customHeight="1" x14ac:dyDescent="0.35"/>
    <row r="314" ht="12.75" customHeight="1" x14ac:dyDescent="0.35"/>
    <row r="315" ht="12.75" customHeight="1" x14ac:dyDescent="0.35"/>
    <row r="316" ht="12.75" customHeight="1" x14ac:dyDescent="0.35"/>
    <row r="317" ht="12.75" customHeight="1" x14ac:dyDescent="0.35"/>
    <row r="318" ht="12.75" customHeight="1" x14ac:dyDescent="0.35"/>
    <row r="319" ht="12.75" customHeight="1" x14ac:dyDescent="0.35"/>
    <row r="320" ht="12.75" customHeight="1" x14ac:dyDescent="0.35"/>
    <row r="321" ht="12.75" customHeight="1" x14ac:dyDescent="0.35"/>
    <row r="322" ht="12.75" customHeight="1" x14ac:dyDescent="0.35"/>
    <row r="323" ht="12.75" customHeight="1" x14ac:dyDescent="0.35"/>
    <row r="324" ht="12.75" customHeight="1" x14ac:dyDescent="0.35"/>
    <row r="325" ht="12.75" customHeight="1" x14ac:dyDescent="0.35"/>
    <row r="326" ht="12.75" customHeight="1" x14ac:dyDescent="0.35"/>
    <row r="327" ht="12.75" customHeight="1" x14ac:dyDescent="0.35"/>
    <row r="328" ht="12.75" customHeight="1" x14ac:dyDescent="0.35"/>
    <row r="329" ht="12.75" customHeight="1" x14ac:dyDescent="0.35"/>
    <row r="330" ht="12.75" customHeight="1" x14ac:dyDescent="0.35"/>
    <row r="331" ht="12.75" customHeight="1" x14ac:dyDescent="0.35"/>
    <row r="332" ht="12.75" customHeight="1" x14ac:dyDescent="0.35"/>
    <row r="333" ht="12.75" customHeight="1" x14ac:dyDescent="0.35"/>
    <row r="334" ht="12.75" customHeight="1" x14ac:dyDescent="0.35"/>
    <row r="335" ht="12.75" customHeight="1" x14ac:dyDescent="0.35"/>
    <row r="336" ht="12.75" customHeight="1" x14ac:dyDescent="0.35"/>
    <row r="337" ht="12.75" customHeight="1" x14ac:dyDescent="0.35"/>
    <row r="338" ht="12.75" customHeight="1" x14ac:dyDescent="0.35"/>
    <row r="339" ht="12.75" customHeight="1" x14ac:dyDescent="0.35"/>
    <row r="340" ht="12.75" customHeight="1" x14ac:dyDescent="0.35"/>
    <row r="341" ht="12.75" customHeight="1" x14ac:dyDescent="0.35"/>
    <row r="342" ht="12.75" customHeight="1" x14ac:dyDescent="0.35"/>
    <row r="343" ht="12.75" customHeight="1" x14ac:dyDescent="0.35"/>
    <row r="344" ht="12.75" customHeight="1" x14ac:dyDescent="0.35"/>
    <row r="345" ht="12.75" customHeight="1" x14ac:dyDescent="0.35"/>
    <row r="346" ht="12.75" customHeight="1" x14ac:dyDescent="0.35"/>
    <row r="347" ht="12.75" customHeight="1" x14ac:dyDescent="0.35"/>
    <row r="348" ht="12.75" customHeight="1" x14ac:dyDescent="0.35"/>
    <row r="349" ht="12.75" customHeight="1" x14ac:dyDescent="0.35"/>
    <row r="350" ht="12.75" customHeight="1" x14ac:dyDescent="0.35"/>
    <row r="351" ht="12.75" customHeight="1" x14ac:dyDescent="0.35"/>
    <row r="352" ht="12.75" customHeight="1" x14ac:dyDescent="0.35"/>
    <row r="353" ht="12.75" customHeight="1" x14ac:dyDescent="0.35"/>
    <row r="354" ht="12.75" customHeight="1" x14ac:dyDescent="0.35"/>
    <row r="355" ht="12.75" customHeight="1" x14ac:dyDescent="0.35"/>
    <row r="356" ht="12.75" customHeight="1" x14ac:dyDescent="0.35"/>
    <row r="357" ht="12.75" customHeight="1" x14ac:dyDescent="0.35"/>
    <row r="358" ht="12.75" customHeight="1" x14ac:dyDescent="0.35"/>
    <row r="359" ht="12.75" customHeight="1" x14ac:dyDescent="0.35"/>
    <row r="360" ht="12.75" customHeight="1" x14ac:dyDescent="0.35"/>
    <row r="361" ht="12.75" customHeight="1" x14ac:dyDescent="0.35"/>
    <row r="362" ht="12.75" customHeight="1" x14ac:dyDescent="0.35"/>
    <row r="363" ht="12.75" customHeight="1" x14ac:dyDescent="0.35"/>
    <row r="364" ht="12.75" customHeight="1" x14ac:dyDescent="0.35"/>
    <row r="365" ht="12.75" customHeight="1" x14ac:dyDescent="0.35"/>
    <row r="366" ht="12.75" customHeight="1" x14ac:dyDescent="0.35"/>
    <row r="367" ht="12.75" customHeight="1" x14ac:dyDescent="0.35"/>
    <row r="368" ht="12.75" customHeight="1" x14ac:dyDescent="0.35"/>
    <row r="369" ht="12.75" customHeight="1" x14ac:dyDescent="0.35"/>
    <row r="370" ht="12.75" customHeight="1" x14ac:dyDescent="0.35"/>
    <row r="371" ht="12.75" customHeight="1" x14ac:dyDescent="0.35"/>
    <row r="372" ht="12.75" customHeight="1" x14ac:dyDescent="0.35"/>
    <row r="373" ht="12.75" customHeight="1" x14ac:dyDescent="0.35"/>
    <row r="374" ht="12.75" customHeight="1" x14ac:dyDescent="0.35"/>
    <row r="375" ht="12.75" customHeight="1" x14ac:dyDescent="0.35"/>
    <row r="376" ht="12.75" customHeight="1" x14ac:dyDescent="0.35"/>
    <row r="377" ht="12.75" customHeight="1" x14ac:dyDescent="0.35"/>
    <row r="378" ht="12.75" customHeight="1" x14ac:dyDescent="0.35"/>
    <row r="379" ht="12.75" customHeight="1" x14ac:dyDescent="0.35"/>
    <row r="380" ht="12.75" customHeight="1" x14ac:dyDescent="0.35"/>
    <row r="381" ht="12.75" customHeight="1" x14ac:dyDescent="0.35"/>
    <row r="382" ht="12.75" customHeight="1" x14ac:dyDescent="0.35"/>
    <row r="383" ht="12.75" customHeight="1" x14ac:dyDescent="0.35"/>
    <row r="384" ht="12.75" customHeight="1" x14ac:dyDescent="0.35"/>
    <row r="385" ht="12.75" customHeight="1" x14ac:dyDescent="0.35"/>
    <row r="386" ht="12.75" customHeight="1" x14ac:dyDescent="0.35"/>
    <row r="387" ht="12.75" customHeight="1" x14ac:dyDescent="0.35"/>
    <row r="388" ht="12.75" customHeight="1" x14ac:dyDescent="0.35"/>
    <row r="389" ht="12.75" customHeight="1" x14ac:dyDescent="0.35"/>
    <row r="390" ht="12.75" customHeight="1" x14ac:dyDescent="0.35"/>
    <row r="391" ht="12.75" customHeight="1" x14ac:dyDescent="0.35"/>
    <row r="392" ht="12.75" customHeight="1" x14ac:dyDescent="0.35"/>
    <row r="393" ht="12.75" customHeight="1" x14ac:dyDescent="0.35"/>
    <row r="394" ht="12.75" customHeight="1" x14ac:dyDescent="0.35"/>
    <row r="395" ht="12.75" customHeight="1" x14ac:dyDescent="0.35"/>
    <row r="396" ht="12.75" customHeight="1" x14ac:dyDescent="0.35"/>
    <row r="397" ht="12.75" customHeight="1" x14ac:dyDescent="0.35"/>
    <row r="398" ht="12.75" customHeight="1" x14ac:dyDescent="0.35"/>
    <row r="399" ht="12.75" customHeight="1" x14ac:dyDescent="0.35"/>
    <row r="400" ht="12.75" customHeight="1" x14ac:dyDescent="0.35"/>
    <row r="401" ht="12.75" customHeight="1" x14ac:dyDescent="0.35"/>
    <row r="402" ht="12.75" customHeight="1" x14ac:dyDescent="0.35"/>
    <row r="403" ht="12.75" customHeight="1" x14ac:dyDescent="0.35"/>
    <row r="404" ht="12.75" customHeight="1" x14ac:dyDescent="0.35"/>
    <row r="405" ht="12.75" customHeight="1" x14ac:dyDescent="0.35"/>
    <row r="406" ht="12.75" customHeight="1" x14ac:dyDescent="0.35"/>
    <row r="407" ht="12.75" customHeight="1" x14ac:dyDescent="0.35"/>
    <row r="408" ht="12.75" customHeight="1" x14ac:dyDescent="0.35"/>
    <row r="409" ht="12.75" customHeight="1" x14ac:dyDescent="0.35"/>
    <row r="410" ht="12.75" customHeight="1" x14ac:dyDescent="0.35"/>
    <row r="411" ht="12.75" customHeight="1" x14ac:dyDescent="0.35"/>
    <row r="412" ht="12.75" customHeight="1" x14ac:dyDescent="0.35"/>
    <row r="413" ht="12.75" customHeight="1" x14ac:dyDescent="0.35"/>
    <row r="414" ht="12.75" customHeight="1" x14ac:dyDescent="0.35"/>
    <row r="415" ht="12.75" customHeight="1" x14ac:dyDescent="0.35"/>
    <row r="416" ht="12.75" customHeight="1" x14ac:dyDescent="0.35"/>
    <row r="417" ht="12.75" customHeight="1" x14ac:dyDescent="0.35"/>
    <row r="418" ht="12.75" customHeight="1" x14ac:dyDescent="0.35"/>
    <row r="419" ht="12.75" customHeight="1" x14ac:dyDescent="0.35"/>
    <row r="420" ht="12.75" customHeight="1" x14ac:dyDescent="0.35"/>
    <row r="421" ht="12.75" customHeight="1" x14ac:dyDescent="0.35"/>
    <row r="422" ht="12.75" customHeight="1" x14ac:dyDescent="0.35"/>
    <row r="423" ht="12.75" customHeight="1" x14ac:dyDescent="0.35"/>
    <row r="424" ht="12.75" customHeight="1" x14ac:dyDescent="0.35"/>
    <row r="425" ht="12.75" customHeight="1" x14ac:dyDescent="0.35"/>
    <row r="426" ht="12.75" customHeight="1" x14ac:dyDescent="0.35"/>
    <row r="427" ht="12.75" customHeight="1" x14ac:dyDescent="0.35"/>
    <row r="428" ht="12.75" customHeight="1" x14ac:dyDescent="0.35"/>
    <row r="429" ht="12.75" customHeight="1" x14ac:dyDescent="0.35"/>
    <row r="430" ht="12.75" customHeight="1" x14ac:dyDescent="0.35"/>
    <row r="431" ht="12.75" customHeight="1" x14ac:dyDescent="0.35"/>
    <row r="432" ht="12.75" customHeight="1" x14ac:dyDescent="0.35"/>
    <row r="433" ht="12.75" customHeight="1" x14ac:dyDescent="0.35"/>
    <row r="434" ht="12.75" customHeight="1" x14ac:dyDescent="0.35"/>
    <row r="435" ht="12.75" customHeight="1" x14ac:dyDescent="0.35"/>
    <row r="436" ht="12.75" customHeight="1" x14ac:dyDescent="0.35"/>
    <row r="437" ht="12.75" customHeight="1" x14ac:dyDescent="0.35"/>
    <row r="438" ht="12.75" customHeight="1" x14ac:dyDescent="0.35"/>
    <row r="439" ht="12.75" customHeight="1" x14ac:dyDescent="0.35"/>
    <row r="440" ht="12.75" customHeight="1" x14ac:dyDescent="0.35"/>
    <row r="441" ht="12.75" customHeight="1" x14ac:dyDescent="0.35"/>
    <row r="442" ht="12.75" customHeight="1" x14ac:dyDescent="0.35"/>
    <row r="443" ht="12.75" customHeight="1" x14ac:dyDescent="0.35"/>
    <row r="444" ht="12.75" customHeight="1" x14ac:dyDescent="0.35"/>
    <row r="445" ht="12.75" customHeight="1" x14ac:dyDescent="0.35"/>
    <row r="446" ht="12.75" customHeight="1" x14ac:dyDescent="0.35"/>
    <row r="447" ht="12.75" customHeight="1" x14ac:dyDescent="0.35"/>
    <row r="448" ht="12.75" customHeight="1" x14ac:dyDescent="0.35"/>
    <row r="449" ht="12.75" customHeight="1" x14ac:dyDescent="0.35"/>
    <row r="450" ht="12.75" customHeight="1" x14ac:dyDescent="0.35"/>
    <row r="451" ht="12.75" customHeight="1" x14ac:dyDescent="0.35"/>
    <row r="452" ht="12.75" customHeight="1" x14ac:dyDescent="0.35"/>
    <row r="453" ht="12.75" customHeight="1" x14ac:dyDescent="0.35"/>
    <row r="454" ht="12.75" customHeight="1" x14ac:dyDescent="0.35"/>
    <row r="455" ht="12.75" customHeight="1" x14ac:dyDescent="0.35"/>
    <row r="456" ht="12.75" customHeight="1" x14ac:dyDescent="0.35"/>
    <row r="457" ht="12.75" customHeight="1" x14ac:dyDescent="0.35"/>
    <row r="458" ht="12.75" customHeight="1" x14ac:dyDescent="0.35"/>
    <row r="459" ht="12.75" customHeight="1" x14ac:dyDescent="0.35"/>
    <row r="460" ht="12.75" customHeight="1" x14ac:dyDescent="0.35"/>
    <row r="461" ht="12.75" customHeight="1" x14ac:dyDescent="0.35"/>
    <row r="462" ht="12.75" customHeight="1" x14ac:dyDescent="0.35"/>
    <row r="463" ht="12.75" customHeight="1" x14ac:dyDescent="0.35"/>
    <row r="464" ht="12.75" customHeight="1" x14ac:dyDescent="0.35"/>
    <row r="465" ht="12.75" customHeight="1" x14ac:dyDescent="0.35"/>
    <row r="466" ht="12.75" customHeight="1" x14ac:dyDescent="0.35"/>
    <row r="467" ht="12.75" customHeight="1" x14ac:dyDescent="0.35"/>
    <row r="468" ht="12.75" customHeight="1" x14ac:dyDescent="0.35"/>
    <row r="469" ht="12.75" customHeight="1" x14ac:dyDescent="0.35"/>
    <row r="470" ht="12.75" customHeight="1" x14ac:dyDescent="0.35"/>
    <row r="471" ht="12.75" customHeight="1" x14ac:dyDescent="0.35"/>
    <row r="472" ht="12.75" customHeight="1" x14ac:dyDescent="0.35"/>
    <row r="473" ht="12.75" customHeight="1" x14ac:dyDescent="0.35"/>
    <row r="474" ht="12.75" customHeight="1" x14ac:dyDescent="0.35"/>
    <row r="475" ht="12.75" customHeight="1" x14ac:dyDescent="0.35"/>
    <row r="476" ht="12.75" customHeight="1" x14ac:dyDescent="0.35"/>
    <row r="477" ht="12.75" customHeight="1" x14ac:dyDescent="0.35"/>
    <row r="478" ht="12.75" customHeight="1" x14ac:dyDescent="0.35"/>
    <row r="479" ht="12.75" customHeight="1" x14ac:dyDescent="0.35"/>
    <row r="480" ht="12.75" customHeight="1" x14ac:dyDescent="0.35"/>
    <row r="481" ht="12.75" customHeight="1" x14ac:dyDescent="0.35"/>
    <row r="482" ht="12.75" customHeight="1" x14ac:dyDescent="0.35"/>
    <row r="483" ht="12.75" customHeight="1" x14ac:dyDescent="0.35"/>
    <row r="484" ht="12.75" customHeight="1" x14ac:dyDescent="0.35"/>
    <row r="485" ht="12.75" customHeight="1" x14ac:dyDescent="0.35"/>
    <row r="486" ht="12.75" customHeight="1" x14ac:dyDescent="0.35"/>
    <row r="487" ht="12.75" customHeight="1" x14ac:dyDescent="0.35"/>
    <row r="488" ht="12.75" customHeight="1" x14ac:dyDescent="0.35"/>
    <row r="489" ht="12.75" customHeight="1" x14ac:dyDescent="0.35"/>
    <row r="490" ht="12.75" customHeight="1" x14ac:dyDescent="0.35"/>
    <row r="491" ht="12.75" customHeight="1" x14ac:dyDescent="0.35"/>
    <row r="492" ht="12.75" customHeight="1" x14ac:dyDescent="0.35"/>
    <row r="493" ht="12.75" customHeight="1" x14ac:dyDescent="0.35"/>
    <row r="494" ht="12.75" customHeight="1" x14ac:dyDescent="0.35"/>
    <row r="495" ht="12.75" customHeight="1" x14ac:dyDescent="0.35"/>
    <row r="496" ht="12.75" customHeight="1" x14ac:dyDescent="0.35"/>
    <row r="497" ht="12.75" customHeight="1" x14ac:dyDescent="0.35"/>
    <row r="498" ht="12.75" customHeight="1" x14ac:dyDescent="0.35"/>
    <row r="499" ht="12.75" customHeight="1" x14ac:dyDescent="0.35"/>
    <row r="500" ht="12.75" customHeight="1" x14ac:dyDescent="0.35"/>
    <row r="501" ht="12.75" customHeight="1" x14ac:dyDescent="0.35"/>
    <row r="502" ht="12.75" customHeight="1" x14ac:dyDescent="0.35"/>
    <row r="503" ht="12.75" customHeight="1" x14ac:dyDescent="0.35"/>
    <row r="504" ht="12.75" customHeight="1" x14ac:dyDescent="0.35"/>
    <row r="505" ht="12.75" customHeight="1" x14ac:dyDescent="0.35"/>
    <row r="506" ht="12.75" customHeight="1" x14ac:dyDescent="0.35"/>
    <row r="507" ht="12.75" customHeight="1" x14ac:dyDescent="0.35"/>
    <row r="508" ht="12.75" customHeight="1" x14ac:dyDescent="0.35"/>
    <row r="509" ht="12.75" customHeight="1" x14ac:dyDescent="0.35"/>
    <row r="510" ht="12.75" customHeight="1" x14ac:dyDescent="0.35"/>
    <row r="511" ht="12.75" customHeight="1" x14ac:dyDescent="0.35"/>
    <row r="512" ht="12.75" customHeight="1" x14ac:dyDescent="0.35"/>
    <row r="513" ht="12.75" customHeight="1" x14ac:dyDescent="0.35"/>
    <row r="514" ht="12.75" customHeight="1" x14ac:dyDescent="0.35"/>
    <row r="515" ht="12.75" customHeight="1" x14ac:dyDescent="0.35"/>
    <row r="516" ht="12.75" customHeight="1" x14ac:dyDescent="0.35"/>
    <row r="517" ht="12.75" customHeight="1" x14ac:dyDescent="0.35"/>
    <row r="518" ht="12.75" customHeight="1" x14ac:dyDescent="0.35"/>
    <row r="519" ht="12.75" customHeight="1" x14ac:dyDescent="0.35"/>
    <row r="520" ht="12.75" customHeight="1" x14ac:dyDescent="0.35"/>
    <row r="521" ht="12.75" customHeight="1" x14ac:dyDescent="0.35"/>
    <row r="522" ht="12.75" customHeight="1" x14ac:dyDescent="0.35"/>
    <row r="523" ht="12.75" customHeight="1" x14ac:dyDescent="0.35"/>
    <row r="524" ht="12.75" customHeight="1" x14ac:dyDescent="0.35"/>
    <row r="525" ht="12.75" customHeight="1" x14ac:dyDescent="0.35"/>
    <row r="526" ht="12.75" customHeight="1" x14ac:dyDescent="0.35"/>
    <row r="527" ht="12.75" customHeight="1" x14ac:dyDescent="0.35"/>
    <row r="528" ht="12.75" customHeight="1" x14ac:dyDescent="0.35"/>
    <row r="529" ht="12.75" customHeight="1" x14ac:dyDescent="0.35"/>
    <row r="530" ht="12.75" customHeight="1" x14ac:dyDescent="0.35"/>
    <row r="531" ht="12.75" customHeight="1" x14ac:dyDescent="0.35"/>
    <row r="532" ht="12.75" customHeight="1" x14ac:dyDescent="0.35"/>
    <row r="533" ht="12.75" customHeight="1" x14ac:dyDescent="0.35"/>
    <row r="534" ht="12.75" customHeight="1" x14ac:dyDescent="0.35"/>
    <row r="535" ht="12.75" customHeight="1" x14ac:dyDescent="0.35"/>
    <row r="536" ht="12.75" customHeight="1" x14ac:dyDescent="0.35"/>
    <row r="537" ht="12.75" customHeight="1" x14ac:dyDescent="0.35"/>
    <row r="538" ht="12.75" customHeight="1" x14ac:dyDescent="0.35"/>
    <row r="539" ht="12.75" customHeight="1" x14ac:dyDescent="0.35"/>
    <row r="540" ht="12.75" customHeight="1" x14ac:dyDescent="0.35"/>
    <row r="541" ht="12.75" customHeight="1" x14ac:dyDescent="0.35"/>
    <row r="542" ht="12.75" customHeight="1" x14ac:dyDescent="0.35"/>
    <row r="543" ht="12.75" customHeight="1" x14ac:dyDescent="0.35"/>
    <row r="544" ht="12.75" customHeight="1" x14ac:dyDescent="0.35"/>
    <row r="545" ht="12.75" customHeight="1" x14ac:dyDescent="0.35"/>
    <row r="546" ht="12.75" customHeight="1" x14ac:dyDescent="0.35"/>
    <row r="547" ht="12.75" customHeight="1" x14ac:dyDescent="0.35"/>
    <row r="548" ht="12.75" customHeight="1" x14ac:dyDescent="0.35"/>
    <row r="549" ht="12.75" customHeight="1" x14ac:dyDescent="0.35"/>
    <row r="550" ht="12.75" customHeight="1" x14ac:dyDescent="0.35"/>
    <row r="551" ht="12.75" customHeight="1" x14ac:dyDescent="0.35"/>
    <row r="552" ht="12.75" customHeight="1" x14ac:dyDescent="0.35"/>
    <row r="553" ht="12.75" customHeight="1" x14ac:dyDescent="0.35"/>
    <row r="554" ht="12.75" customHeight="1" x14ac:dyDescent="0.35"/>
    <row r="555" ht="12.75" customHeight="1" x14ac:dyDescent="0.35"/>
    <row r="556" ht="12.75" customHeight="1" x14ac:dyDescent="0.35"/>
    <row r="557" ht="12.75" customHeight="1" x14ac:dyDescent="0.35"/>
    <row r="558" ht="12.75" customHeight="1" x14ac:dyDescent="0.35"/>
    <row r="559" ht="12.75" customHeight="1" x14ac:dyDescent="0.35"/>
    <row r="560" ht="12.75" customHeight="1" x14ac:dyDescent="0.35"/>
    <row r="561" ht="12.75" customHeight="1" x14ac:dyDescent="0.35"/>
    <row r="562" ht="12.75" customHeight="1" x14ac:dyDescent="0.35"/>
    <row r="563" ht="12.75" customHeight="1" x14ac:dyDescent="0.35"/>
    <row r="564" ht="12.75" customHeight="1" x14ac:dyDescent="0.35"/>
    <row r="565" ht="12.75" customHeight="1" x14ac:dyDescent="0.35"/>
    <row r="566" ht="12.75" customHeight="1" x14ac:dyDescent="0.35"/>
    <row r="567" ht="12.75" customHeight="1" x14ac:dyDescent="0.35"/>
    <row r="568" ht="12.75" customHeight="1" x14ac:dyDescent="0.35"/>
    <row r="569" ht="12.75" customHeight="1" x14ac:dyDescent="0.35"/>
    <row r="570" ht="12.75" customHeight="1" x14ac:dyDescent="0.35"/>
    <row r="571" ht="12.75" customHeight="1" x14ac:dyDescent="0.35"/>
    <row r="572" ht="12.75" customHeight="1" x14ac:dyDescent="0.35"/>
    <row r="573" ht="12.75" customHeight="1" x14ac:dyDescent="0.35"/>
    <row r="574" ht="12.75" customHeight="1" x14ac:dyDescent="0.35"/>
    <row r="575" ht="12.75" customHeight="1" x14ac:dyDescent="0.35"/>
    <row r="576" ht="12.75" customHeight="1" x14ac:dyDescent="0.35"/>
    <row r="577" ht="12.75" customHeight="1" x14ac:dyDescent="0.35"/>
    <row r="578" ht="12.75" customHeight="1" x14ac:dyDescent="0.35"/>
    <row r="579" ht="12.75" customHeight="1" x14ac:dyDescent="0.35"/>
    <row r="580" ht="12.75" customHeight="1" x14ac:dyDescent="0.35"/>
    <row r="581" ht="12.75" customHeight="1" x14ac:dyDescent="0.35"/>
    <row r="582" ht="12.75" customHeight="1" x14ac:dyDescent="0.35"/>
    <row r="583" ht="12.75" customHeight="1" x14ac:dyDescent="0.35"/>
    <row r="584" ht="12.75" customHeight="1" x14ac:dyDescent="0.35"/>
    <row r="585" ht="12.75" customHeight="1" x14ac:dyDescent="0.35"/>
    <row r="586" ht="12.75" customHeight="1" x14ac:dyDescent="0.35"/>
    <row r="587" ht="12.75" customHeight="1" x14ac:dyDescent="0.35"/>
    <row r="588" ht="12.75" customHeight="1" x14ac:dyDescent="0.35"/>
    <row r="589" ht="12.75" customHeight="1" x14ac:dyDescent="0.35"/>
    <row r="590" ht="12.75" customHeight="1" x14ac:dyDescent="0.35"/>
    <row r="591" ht="12.75" customHeight="1" x14ac:dyDescent="0.35"/>
    <row r="592" ht="12.75" customHeight="1" x14ac:dyDescent="0.35"/>
    <row r="593" ht="12.75" customHeight="1" x14ac:dyDescent="0.35"/>
    <row r="594" ht="12.75" customHeight="1" x14ac:dyDescent="0.35"/>
    <row r="595" ht="12.75" customHeight="1" x14ac:dyDescent="0.35"/>
    <row r="596" ht="12.75" customHeight="1" x14ac:dyDescent="0.35"/>
    <row r="597" ht="12.75" customHeight="1" x14ac:dyDescent="0.35"/>
    <row r="598" ht="12.75" customHeight="1" x14ac:dyDescent="0.35"/>
    <row r="599" ht="12.75" customHeight="1" x14ac:dyDescent="0.35"/>
    <row r="600" ht="12.75" customHeight="1" x14ac:dyDescent="0.35"/>
    <row r="601" ht="12.75" customHeight="1" x14ac:dyDescent="0.35"/>
    <row r="602" ht="12.75" customHeight="1" x14ac:dyDescent="0.35"/>
    <row r="603" ht="12.75" customHeight="1" x14ac:dyDescent="0.35"/>
    <row r="604" ht="12.75" customHeight="1" x14ac:dyDescent="0.35"/>
    <row r="605" ht="12.75" customHeight="1" x14ac:dyDescent="0.35"/>
    <row r="606" ht="12.75" customHeight="1" x14ac:dyDescent="0.35"/>
    <row r="607" ht="12.75" customHeight="1" x14ac:dyDescent="0.35"/>
    <row r="608" ht="12.75" customHeight="1" x14ac:dyDescent="0.35"/>
    <row r="609" ht="12.75" customHeight="1" x14ac:dyDescent="0.35"/>
    <row r="610" ht="12.75" customHeight="1" x14ac:dyDescent="0.35"/>
    <row r="611" ht="12.75" customHeight="1" x14ac:dyDescent="0.35"/>
    <row r="612" ht="12.75" customHeight="1" x14ac:dyDescent="0.35"/>
    <row r="613" ht="12.75" customHeight="1" x14ac:dyDescent="0.35"/>
    <row r="614" ht="12.75" customHeight="1" x14ac:dyDescent="0.35"/>
    <row r="615" ht="12.75" customHeight="1" x14ac:dyDescent="0.35"/>
    <row r="616" ht="12.75" customHeight="1" x14ac:dyDescent="0.35"/>
    <row r="617" ht="12.75" customHeight="1" x14ac:dyDescent="0.35"/>
    <row r="618" ht="12.75" customHeight="1" x14ac:dyDescent="0.35"/>
    <row r="619" ht="12.75" customHeight="1" x14ac:dyDescent="0.35"/>
    <row r="620" ht="12.75" customHeight="1" x14ac:dyDescent="0.35"/>
    <row r="621" ht="12.75" customHeight="1" x14ac:dyDescent="0.35"/>
    <row r="622" ht="12.75" customHeight="1" x14ac:dyDescent="0.35"/>
    <row r="623" ht="12.75" customHeight="1" x14ac:dyDescent="0.35"/>
    <row r="624" ht="12.75" customHeight="1" x14ac:dyDescent="0.35"/>
    <row r="625" ht="12.75" customHeight="1" x14ac:dyDescent="0.35"/>
    <row r="626" ht="12.75" customHeight="1" x14ac:dyDescent="0.35"/>
    <row r="627" ht="12.75" customHeight="1" x14ac:dyDescent="0.35"/>
    <row r="628" ht="12.75" customHeight="1" x14ac:dyDescent="0.35"/>
    <row r="629" ht="12.75" customHeight="1" x14ac:dyDescent="0.35"/>
    <row r="630" ht="12.75" customHeight="1" x14ac:dyDescent="0.35"/>
    <row r="631" ht="12.75" customHeight="1" x14ac:dyDescent="0.35"/>
    <row r="632" ht="12.75" customHeight="1" x14ac:dyDescent="0.35"/>
    <row r="633" ht="12.75" customHeight="1" x14ac:dyDescent="0.35"/>
    <row r="634" ht="12.75" customHeight="1" x14ac:dyDescent="0.35"/>
    <row r="635" ht="12.75" customHeight="1" x14ac:dyDescent="0.35"/>
    <row r="636" ht="12.75" customHeight="1" x14ac:dyDescent="0.35"/>
    <row r="637" ht="12.75" customHeight="1" x14ac:dyDescent="0.35"/>
    <row r="638" ht="12.75" customHeight="1" x14ac:dyDescent="0.35"/>
    <row r="639" ht="12.75" customHeight="1" x14ac:dyDescent="0.35"/>
    <row r="640" ht="12.75" customHeight="1" x14ac:dyDescent="0.35"/>
    <row r="641" ht="12.75" customHeight="1" x14ac:dyDescent="0.35"/>
    <row r="642" ht="12.75" customHeight="1" x14ac:dyDescent="0.35"/>
    <row r="643" ht="12.75" customHeight="1" x14ac:dyDescent="0.35"/>
    <row r="644" ht="12.75" customHeight="1" x14ac:dyDescent="0.35"/>
    <row r="645" ht="12.75" customHeight="1" x14ac:dyDescent="0.35"/>
    <row r="646" ht="12.75" customHeight="1" x14ac:dyDescent="0.35"/>
    <row r="647" ht="12.75" customHeight="1" x14ac:dyDescent="0.35"/>
    <row r="648" ht="12.75" customHeight="1" x14ac:dyDescent="0.35"/>
    <row r="649" ht="12.75" customHeight="1" x14ac:dyDescent="0.35"/>
    <row r="650" ht="12.75" customHeight="1" x14ac:dyDescent="0.35"/>
    <row r="651" ht="12.75" customHeight="1" x14ac:dyDescent="0.35"/>
    <row r="652" ht="12.75" customHeight="1" x14ac:dyDescent="0.35"/>
    <row r="653" ht="12.75" customHeight="1" x14ac:dyDescent="0.35"/>
    <row r="654" ht="12.75" customHeight="1" x14ac:dyDescent="0.35"/>
    <row r="655" ht="12.75" customHeight="1" x14ac:dyDescent="0.35"/>
    <row r="656" ht="12.75" customHeight="1" x14ac:dyDescent="0.35"/>
    <row r="657" ht="12.75" customHeight="1" x14ac:dyDescent="0.35"/>
    <row r="658" ht="12.75" customHeight="1" x14ac:dyDescent="0.35"/>
    <row r="659" ht="12.75" customHeight="1" x14ac:dyDescent="0.35"/>
    <row r="660" ht="12.75" customHeight="1" x14ac:dyDescent="0.35"/>
    <row r="661" ht="12.75" customHeight="1" x14ac:dyDescent="0.35"/>
    <row r="662" ht="12.75" customHeight="1" x14ac:dyDescent="0.35"/>
    <row r="663" ht="12.75" customHeight="1" x14ac:dyDescent="0.35"/>
    <row r="664" ht="12.75" customHeight="1" x14ac:dyDescent="0.35"/>
    <row r="665" ht="12.75" customHeight="1" x14ac:dyDescent="0.35"/>
    <row r="666" ht="12.75" customHeight="1" x14ac:dyDescent="0.35"/>
    <row r="667" ht="12.75" customHeight="1" x14ac:dyDescent="0.35"/>
    <row r="668" ht="12.75" customHeight="1" x14ac:dyDescent="0.35"/>
    <row r="669" ht="12.75" customHeight="1" x14ac:dyDescent="0.35"/>
    <row r="670" ht="12.75" customHeight="1" x14ac:dyDescent="0.35"/>
    <row r="671" ht="12.75" customHeight="1" x14ac:dyDescent="0.35"/>
    <row r="672" ht="12.75" customHeight="1" x14ac:dyDescent="0.35"/>
    <row r="673" ht="12.75" customHeight="1" x14ac:dyDescent="0.35"/>
    <row r="674" ht="12.75" customHeight="1" x14ac:dyDescent="0.35"/>
    <row r="675" ht="12.75" customHeight="1" x14ac:dyDescent="0.35"/>
    <row r="676" ht="12.75" customHeight="1" x14ac:dyDescent="0.35"/>
    <row r="677" ht="12.75" customHeight="1" x14ac:dyDescent="0.35"/>
    <row r="678" ht="12.75" customHeight="1" x14ac:dyDescent="0.35"/>
    <row r="679" ht="12.75" customHeight="1" x14ac:dyDescent="0.35"/>
    <row r="680" ht="12.75" customHeight="1" x14ac:dyDescent="0.35"/>
    <row r="681" ht="12.75" customHeight="1" x14ac:dyDescent="0.35"/>
    <row r="682" ht="12.75" customHeight="1" x14ac:dyDescent="0.35"/>
    <row r="683" ht="12.75" customHeight="1" x14ac:dyDescent="0.35"/>
    <row r="684" ht="12.75" customHeight="1" x14ac:dyDescent="0.35"/>
    <row r="685" ht="12.75" customHeight="1" x14ac:dyDescent="0.35"/>
    <row r="686" ht="12.75" customHeight="1" x14ac:dyDescent="0.35"/>
    <row r="687" ht="12.75" customHeight="1" x14ac:dyDescent="0.35"/>
    <row r="688" ht="12.75" customHeight="1" x14ac:dyDescent="0.35"/>
    <row r="689" ht="12.75" customHeight="1" x14ac:dyDescent="0.35"/>
    <row r="690" ht="12.75" customHeight="1" x14ac:dyDescent="0.35"/>
    <row r="691" ht="12.75" customHeight="1" x14ac:dyDescent="0.35"/>
    <row r="692" ht="12.75" customHeight="1" x14ac:dyDescent="0.35"/>
    <row r="693" ht="12.75" customHeight="1" x14ac:dyDescent="0.35"/>
    <row r="694" ht="12.75" customHeight="1" x14ac:dyDescent="0.35"/>
    <row r="695" ht="12.75" customHeight="1" x14ac:dyDescent="0.35"/>
    <row r="696" ht="12.75" customHeight="1" x14ac:dyDescent="0.35"/>
    <row r="697" ht="12.75" customHeight="1" x14ac:dyDescent="0.35"/>
    <row r="698" ht="12.75" customHeight="1" x14ac:dyDescent="0.35"/>
    <row r="699" ht="12.75" customHeight="1" x14ac:dyDescent="0.35"/>
    <row r="700" ht="12.75" customHeight="1" x14ac:dyDescent="0.35"/>
    <row r="701" ht="12.75" customHeight="1" x14ac:dyDescent="0.35"/>
    <row r="702" ht="12.75" customHeight="1" x14ac:dyDescent="0.35"/>
    <row r="703" ht="12.75" customHeight="1" x14ac:dyDescent="0.35"/>
    <row r="704" ht="12.75" customHeight="1" x14ac:dyDescent="0.35"/>
    <row r="705" ht="12.75" customHeight="1" x14ac:dyDescent="0.35"/>
    <row r="706" ht="12.75" customHeight="1" x14ac:dyDescent="0.35"/>
    <row r="707" ht="12.75" customHeight="1" x14ac:dyDescent="0.35"/>
    <row r="708" ht="12.75" customHeight="1" x14ac:dyDescent="0.35"/>
    <row r="709" ht="12.75" customHeight="1" x14ac:dyDescent="0.35"/>
    <row r="710" ht="12.75" customHeight="1" x14ac:dyDescent="0.35"/>
    <row r="711" ht="12.75" customHeight="1" x14ac:dyDescent="0.35"/>
    <row r="712" ht="12.75" customHeight="1" x14ac:dyDescent="0.35"/>
    <row r="713" ht="12.75" customHeight="1" x14ac:dyDescent="0.35"/>
    <row r="714" ht="12.75" customHeight="1" x14ac:dyDescent="0.35"/>
    <row r="715" ht="12.75" customHeight="1" x14ac:dyDescent="0.35"/>
    <row r="716" ht="12.75" customHeight="1" x14ac:dyDescent="0.35"/>
    <row r="717" ht="12.75" customHeight="1" x14ac:dyDescent="0.35"/>
    <row r="718" ht="12.75" customHeight="1" x14ac:dyDescent="0.35"/>
    <row r="719" ht="12.75" customHeight="1" x14ac:dyDescent="0.35"/>
    <row r="720" ht="12.75" customHeight="1" x14ac:dyDescent="0.35"/>
    <row r="721" ht="12.75" customHeight="1" x14ac:dyDescent="0.35"/>
    <row r="722" ht="12.75" customHeight="1" x14ac:dyDescent="0.35"/>
    <row r="723" ht="12.75" customHeight="1" x14ac:dyDescent="0.35"/>
    <row r="724" ht="12.75" customHeight="1" x14ac:dyDescent="0.35"/>
    <row r="725" ht="12.75" customHeight="1" x14ac:dyDescent="0.35"/>
    <row r="726" ht="12.75" customHeight="1" x14ac:dyDescent="0.35"/>
    <row r="727" ht="12.75" customHeight="1" x14ac:dyDescent="0.35"/>
    <row r="728" ht="12.75" customHeight="1" x14ac:dyDescent="0.35"/>
    <row r="729" ht="12.75" customHeight="1" x14ac:dyDescent="0.35"/>
    <row r="730" ht="12.75" customHeight="1" x14ac:dyDescent="0.35"/>
    <row r="731" ht="12.75" customHeight="1" x14ac:dyDescent="0.35"/>
    <row r="732" ht="12.75" customHeight="1" x14ac:dyDescent="0.35"/>
    <row r="733" ht="12.75" customHeight="1" x14ac:dyDescent="0.35"/>
    <row r="734" ht="12.75" customHeight="1" x14ac:dyDescent="0.35"/>
    <row r="735" ht="12.75" customHeight="1" x14ac:dyDescent="0.35"/>
    <row r="736" ht="12.75" customHeight="1" x14ac:dyDescent="0.35"/>
    <row r="737" ht="12.75" customHeight="1" x14ac:dyDescent="0.35"/>
    <row r="738" ht="12.75" customHeight="1" x14ac:dyDescent="0.35"/>
    <row r="739" ht="12.75" customHeight="1" x14ac:dyDescent="0.35"/>
    <row r="740" ht="12.75" customHeight="1" x14ac:dyDescent="0.35"/>
    <row r="741" ht="12.75" customHeight="1" x14ac:dyDescent="0.35"/>
    <row r="742" ht="12.75" customHeight="1" x14ac:dyDescent="0.35"/>
    <row r="743" ht="12.75" customHeight="1" x14ac:dyDescent="0.35"/>
    <row r="744" ht="12.75" customHeight="1" x14ac:dyDescent="0.35"/>
    <row r="745" ht="12.75" customHeight="1" x14ac:dyDescent="0.35"/>
    <row r="746" ht="12.75" customHeight="1" x14ac:dyDescent="0.35"/>
    <row r="747" ht="12.75" customHeight="1" x14ac:dyDescent="0.35"/>
    <row r="748" ht="12.75" customHeight="1" x14ac:dyDescent="0.35"/>
    <row r="749" ht="12.75" customHeight="1" x14ac:dyDescent="0.35"/>
    <row r="750" ht="12.75" customHeight="1" x14ac:dyDescent="0.35"/>
    <row r="751" ht="12.75" customHeight="1" x14ac:dyDescent="0.35"/>
    <row r="752" ht="12.75" customHeight="1" x14ac:dyDescent="0.35"/>
    <row r="753" ht="12.75" customHeight="1" x14ac:dyDescent="0.35"/>
    <row r="754" ht="12.75" customHeight="1" x14ac:dyDescent="0.35"/>
    <row r="755" ht="12.75" customHeight="1" x14ac:dyDescent="0.35"/>
    <row r="756" ht="12.75" customHeight="1" x14ac:dyDescent="0.35"/>
    <row r="757" ht="12.75" customHeight="1" x14ac:dyDescent="0.35"/>
    <row r="758" ht="12.75" customHeight="1" x14ac:dyDescent="0.35"/>
    <row r="759" ht="12.75" customHeight="1" x14ac:dyDescent="0.35"/>
    <row r="760" ht="12.75" customHeight="1" x14ac:dyDescent="0.35"/>
    <row r="761" ht="12.75" customHeight="1" x14ac:dyDescent="0.35"/>
    <row r="762" ht="12.75" customHeight="1" x14ac:dyDescent="0.35"/>
    <row r="763" ht="12.75" customHeight="1" x14ac:dyDescent="0.35"/>
    <row r="764" ht="12.75" customHeight="1" x14ac:dyDescent="0.35"/>
    <row r="765" ht="12.75" customHeight="1" x14ac:dyDescent="0.35"/>
    <row r="766" ht="12.75" customHeight="1" x14ac:dyDescent="0.35"/>
    <row r="767" ht="12.75" customHeight="1" x14ac:dyDescent="0.35"/>
    <row r="768" ht="12.75" customHeight="1" x14ac:dyDescent="0.35"/>
    <row r="769" ht="12.75" customHeight="1" x14ac:dyDescent="0.35"/>
    <row r="770" ht="12.75" customHeight="1" x14ac:dyDescent="0.35"/>
    <row r="771" ht="12.75" customHeight="1" x14ac:dyDescent="0.35"/>
    <row r="772" ht="12.75" customHeight="1" x14ac:dyDescent="0.35"/>
    <row r="773" ht="12.75" customHeight="1" x14ac:dyDescent="0.35"/>
    <row r="774" ht="12.75" customHeight="1" x14ac:dyDescent="0.35"/>
    <row r="775" ht="12.75" customHeight="1" x14ac:dyDescent="0.35"/>
    <row r="776" ht="12.75" customHeight="1" x14ac:dyDescent="0.35"/>
    <row r="777" ht="12.75" customHeight="1" x14ac:dyDescent="0.35"/>
    <row r="778" ht="12.75" customHeight="1" x14ac:dyDescent="0.35"/>
    <row r="779" ht="12.75" customHeight="1" x14ac:dyDescent="0.35"/>
    <row r="780" ht="12.75" customHeight="1" x14ac:dyDescent="0.35"/>
    <row r="781" ht="12.75" customHeight="1" x14ac:dyDescent="0.35"/>
    <row r="782" ht="12.75" customHeight="1" x14ac:dyDescent="0.35"/>
    <row r="783" ht="12.75" customHeight="1" x14ac:dyDescent="0.35"/>
    <row r="784" ht="12.75" customHeight="1" x14ac:dyDescent="0.35"/>
    <row r="785" ht="12.75" customHeight="1" x14ac:dyDescent="0.35"/>
    <row r="786" ht="12.75" customHeight="1" x14ac:dyDescent="0.35"/>
    <row r="787" ht="12.75" customHeight="1" x14ac:dyDescent="0.35"/>
    <row r="788" ht="12.75" customHeight="1" x14ac:dyDescent="0.35"/>
    <row r="789" ht="12.75" customHeight="1" x14ac:dyDescent="0.35"/>
    <row r="790" ht="12.75" customHeight="1" x14ac:dyDescent="0.35"/>
    <row r="791" ht="12.75" customHeight="1" x14ac:dyDescent="0.35"/>
    <row r="792" ht="12.75" customHeight="1" x14ac:dyDescent="0.35"/>
    <row r="793" ht="12.75" customHeight="1" x14ac:dyDescent="0.35"/>
    <row r="794" ht="12.75" customHeight="1" x14ac:dyDescent="0.35"/>
    <row r="795" ht="12.75" customHeight="1" x14ac:dyDescent="0.35"/>
    <row r="796" ht="12.75" customHeight="1" x14ac:dyDescent="0.35"/>
    <row r="797" ht="12.75" customHeight="1" x14ac:dyDescent="0.35"/>
    <row r="798" ht="12.75" customHeight="1" x14ac:dyDescent="0.35"/>
    <row r="799" ht="12.75" customHeight="1" x14ac:dyDescent="0.35"/>
    <row r="800" ht="12.75" customHeight="1" x14ac:dyDescent="0.35"/>
    <row r="801" ht="12.75" customHeight="1" x14ac:dyDescent="0.35"/>
    <row r="802" ht="12.75" customHeight="1" x14ac:dyDescent="0.35"/>
    <row r="803" ht="12.75" customHeight="1" x14ac:dyDescent="0.35"/>
    <row r="804" ht="12.75" customHeight="1" x14ac:dyDescent="0.35"/>
    <row r="805" ht="12.75" customHeight="1" x14ac:dyDescent="0.35"/>
    <row r="806" ht="12.75" customHeight="1" x14ac:dyDescent="0.35"/>
    <row r="807" ht="12.75" customHeight="1" x14ac:dyDescent="0.35"/>
    <row r="808" ht="12.75" customHeight="1" x14ac:dyDescent="0.35"/>
    <row r="809" ht="12.75" customHeight="1" x14ac:dyDescent="0.35"/>
    <row r="810" ht="12.75" customHeight="1" x14ac:dyDescent="0.35"/>
    <row r="811" ht="12.75" customHeight="1" x14ac:dyDescent="0.35"/>
    <row r="812" ht="12.75" customHeight="1" x14ac:dyDescent="0.35"/>
    <row r="813" ht="12.75" customHeight="1" x14ac:dyDescent="0.35"/>
    <row r="814" ht="12.75" customHeight="1" x14ac:dyDescent="0.35"/>
    <row r="815" ht="12.75" customHeight="1" x14ac:dyDescent="0.35"/>
    <row r="816" ht="12.75" customHeight="1" x14ac:dyDescent="0.35"/>
    <row r="817" ht="12.75" customHeight="1" x14ac:dyDescent="0.35"/>
    <row r="818" ht="12.75" customHeight="1" x14ac:dyDescent="0.35"/>
    <row r="819" ht="12.75" customHeight="1" x14ac:dyDescent="0.35"/>
    <row r="820" ht="12.75" customHeight="1" x14ac:dyDescent="0.35"/>
    <row r="821" ht="12.75" customHeight="1" x14ac:dyDescent="0.35"/>
    <row r="822" ht="12.75" customHeight="1" x14ac:dyDescent="0.35"/>
    <row r="823" ht="12.75" customHeight="1" x14ac:dyDescent="0.35"/>
    <row r="824" ht="12.75" customHeight="1" x14ac:dyDescent="0.35"/>
    <row r="825" ht="12.75" customHeight="1" x14ac:dyDescent="0.35"/>
    <row r="826" ht="12.75" customHeight="1" x14ac:dyDescent="0.35"/>
    <row r="827" ht="12.75" customHeight="1" x14ac:dyDescent="0.35"/>
    <row r="828" ht="12.75" customHeight="1" x14ac:dyDescent="0.35"/>
    <row r="829" ht="12.75" customHeight="1" x14ac:dyDescent="0.35"/>
    <row r="830" ht="12.75" customHeight="1" x14ac:dyDescent="0.35"/>
    <row r="831" ht="12.75" customHeight="1" x14ac:dyDescent="0.35"/>
    <row r="832" ht="12.75" customHeight="1" x14ac:dyDescent="0.35"/>
    <row r="833" ht="12.75" customHeight="1" x14ac:dyDescent="0.35"/>
    <row r="834" ht="12.75" customHeight="1" x14ac:dyDescent="0.35"/>
    <row r="835" ht="12.75" customHeight="1" x14ac:dyDescent="0.35"/>
    <row r="836" ht="12.75" customHeight="1" x14ac:dyDescent="0.35"/>
    <row r="837" ht="12.75" customHeight="1" x14ac:dyDescent="0.35"/>
    <row r="838" ht="12.75" customHeight="1" x14ac:dyDescent="0.35"/>
    <row r="839" ht="12.75" customHeight="1" x14ac:dyDescent="0.35"/>
    <row r="840" ht="12.75" customHeight="1" x14ac:dyDescent="0.35"/>
    <row r="841" ht="12.75" customHeight="1" x14ac:dyDescent="0.35"/>
    <row r="842" ht="12.75" customHeight="1" x14ac:dyDescent="0.35"/>
    <row r="843" ht="12.75" customHeight="1" x14ac:dyDescent="0.35"/>
    <row r="844" ht="12.75" customHeight="1" x14ac:dyDescent="0.35"/>
    <row r="845" ht="12.75" customHeight="1" x14ac:dyDescent="0.35"/>
    <row r="846" ht="12.75" customHeight="1" x14ac:dyDescent="0.35"/>
    <row r="847" ht="12.75" customHeight="1" x14ac:dyDescent="0.35"/>
    <row r="848" ht="12.75" customHeight="1" x14ac:dyDescent="0.35"/>
    <row r="849" ht="12.75" customHeight="1" x14ac:dyDescent="0.35"/>
    <row r="850" ht="12.75" customHeight="1" x14ac:dyDescent="0.35"/>
    <row r="851" ht="12.75" customHeight="1" x14ac:dyDescent="0.35"/>
    <row r="852" ht="12.75" customHeight="1" x14ac:dyDescent="0.35"/>
    <row r="853" ht="12.75" customHeight="1" x14ac:dyDescent="0.35"/>
    <row r="854" ht="12.75" customHeight="1" x14ac:dyDescent="0.35"/>
    <row r="855" ht="12.75" customHeight="1" x14ac:dyDescent="0.35"/>
    <row r="856" ht="12.75" customHeight="1" x14ac:dyDescent="0.35"/>
    <row r="857" ht="12.75" customHeight="1" x14ac:dyDescent="0.35"/>
    <row r="858" ht="12.75" customHeight="1" x14ac:dyDescent="0.35"/>
    <row r="859" ht="12.75" customHeight="1" x14ac:dyDescent="0.35"/>
    <row r="860" ht="12.75" customHeight="1" x14ac:dyDescent="0.35"/>
    <row r="861" ht="12.75" customHeight="1" x14ac:dyDescent="0.35"/>
    <row r="862" ht="12.75" customHeight="1" x14ac:dyDescent="0.35"/>
    <row r="863" ht="12.75" customHeight="1" x14ac:dyDescent="0.35"/>
    <row r="864" ht="12.75" customHeight="1" x14ac:dyDescent="0.35"/>
    <row r="865" ht="12.75" customHeight="1" x14ac:dyDescent="0.35"/>
    <row r="866" ht="12.75" customHeight="1" x14ac:dyDescent="0.35"/>
    <row r="867" ht="12.75" customHeight="1" x14ac:dyDescent="0.35"/>
    <row r="868" ht="12.75" customHeight="1" x14ac:dyDescent="0.35"/>
    <row r="869" ht="12.75" customHeight="1" x14ac:dyDescent="0.35"/>
    <row r="870" ht="12.75" customHeight="1" x14ac:dyDescent="0.35"/>
    <row r="871" ht="12.75" customHeight="1" x14ac:dyDescent="0.35"/>
    <row r="872" ht="12.75" customHeight="1" x14ac:dyDescent="0.35"/>
    <row r="873" ht="12.75" customHeight="1" x14ac:dyDescent="0.35"/>
    <row r="874" ht="12.75" customHeight="1" x14ac:dyDescent="0.35"/>
    <row r="875" ht="12.75" customHeight="1" x14ac:dyDescent="0.35"/>
    <row r="876" ht="12.75" customHeight="1" x14ac:dyDescent="0.35"/>
    <row r="877" ht="12.75" customHeight="1" x14ac:dyDescent="0.35"/>
    <row r="878" ht="12.75" customHeight="1" x14ac:dyDescent="0.35"/>
    <row r="879" ht="12.75" customHeight="1" x14ac:dyDescent="0.35"/>
    <row r="880" ht="12.75" customHeight="1" x14ac:dyDescent="0.35"/>
    <row r="881" ht="12.75" customHeight="1" x14ac:dyDescent="0.35"/>
    <row r="882" ht="12.75" customHeight="1" x14ac:dyDescent="0.35"/>
    <row r="883" ht="12.75" customHeight="1" x14ac:dyDescent="0.35"/>
    <row r="884" ht="12.75" customHeight="1" x14ac:dyDescent="0.35"/>
    <row r="885" ht="12.75" customHeight="1" x14ac:dyDescent="0.35"/>
    <row r="886" ht="12.75" customHeight="1" x14ac:dyDescent="0.35"/>
    <row r="887" ht="12.75" customHeight="1" x14ac:dyDescent="0.35"/>
    <row r="888" ht="12.75" customHeight="1" x14ac:dyDescent="0.35"/>
    <row r="889" ht="12.75" customHeight="1" x14ac:dyDescent="0.35"/>
    <row r="890" ht="12.75" customHeight="1" x14ac:dyDescent="0.35"/>
    <row r="891" ht="12.75" customHeight="1" x14ac:dyDescent="0.35"/>
    <row r="892" ht="12.75" customHeight="1" x14ac:dyDescent="0.35"/>
    <row r="893" ht="12.75" customHeight="1" x14ac:dyDescent="0.35"/>
    <row r="894" ht="12.75" customHeight="1" x14ac:dyDescent="0.35"/>
    <row r="895" ht="12.75" customHeight="1" x14ac:dyDescent="0.35"/>
    <row r="896" ht="12.75" customHeight="1" x14ac:dyDescent="0.35"/>
    <row r="897" ht="12.75" customHeight="1" x14ac:dyDescent="0.35"/>
    <row r="898" ht="12.75" customHeight="1" x14ac:dyDescent="0.35"/>
    <row r="899" ht="12.75" customHeight="1" x14ac:dyDescent="0.35"/>
    <row r="900" ht="12.75" customHeight="1" x14ac:dyDescent="0.35"/>
    <row r="901" ht="12.75" customHeight="1" x14ac:dyDescent="0.35"/>
    <row r="902" ht="12.75" customHeight="1" x14ac:dyDescent="0.35"/>
    <row r="903" ht="12.75" customHeight="1" x14ac:dyDescent="0.35"/>
    <row r="904" ht="12.75" customHeight="1" x14ac:dyDescent="0.35"/>
    <row r="905" ht="12.75" customHeight="1" x14ac:dyDescent="0.35"/>
    <row r="906" ht="12.75" customHeight="1" x14ac:dyDescent="0.35"/>
    <row r="907" ht="12.75" customHeight="1" x14ac:dyDescent="0.35"/>
    <row r="908" ht="12.75" customHeight="1" x14ac:dyDescent="0.35"/>
    <row r="909" ht="12.75" customHeight="1" x14ac:dyDescent="0.35"/>
    <row r="910" ht="12.75" customHeight="1" x14ac:dyDescent="0.35"/>
    <row r="911" ht="12.75" customHeight="1" x14ac:dyDescent="0.35"/>
    <row r="912" ht="12.75" customHeight="1" x14ac:dyDescent="0.35"/>
    <row r="913" ht="12.75" customHeight="1" x14ac:dyDescent="0.35"/>
    <row r="914" ht="12.75" customHeight="1" x14ac:dyDescent="0.35"/>
    <row r="915" ht="12.75" customHeight="1" x14ac:dyDescent="0.35"/>
    <row r="916" ht="12.75" customHeight="1" x14ac:dyDescent="0.35"/>
    <row r="917" ht="12.75" customHeight="1" x14ac:dyDescent="0.35"/>
    <row r="918" ht="12.75" customHeight="1" x14ac:dyDescent="0.35"/>
    <row r="919" ht="12.75" customHeight="1" x14ac:dyDescent="0.35"/>
    <row r="920" ht="12.75" customHeight="1" x14ac:dyDescent="0.35"/>
    <row r="921" ht="12.75" customHeight="1" x14ac:dyDescent="0.35"/>
    <row r="922" ht="12.75" customHeight="1" x14ac:dyDescent="0.35"/>
    <row r="923" ht="12.75" customHeight="1" x14ac:dyDescent="0.35"/>
    <row r="924" ht="12.75" customHeight="1" x14ac:dyDescent="0.35"/>
    <row r="925" ht="12.75" customHeight="1" x14ac:dyDescent="0.35"/>
    <row r="926" ht="12.75" customHeight="1" x14ac:dyDescent="0.35"/>
    <row r="927" ht="12.75" customHeight="1" x14ac:dyDescent="0.35"/>
    <row r="928" ht="12.75" customHeight="1" x14ac:dyDescent="0.35"/>
    <row r="929" ht="12.75" customHeight="1" x14ac:dyDescent="0.35"/>
    <row r="930" ht="12.75" customHeight="1" x14ac:dyDescent="0.35"/>
    <row r="931" ht="12.75" customHeight="1" x14ac:dyDescent="0.35"/>
    <row r="932" ht="12.75" customHeight="1" x14ac:dyDescent="0.35"/>
    <row r="933" ht="12.75" customHeight="1" x14ac:dyDescent="0.35"/>
    <row r="934" ht="12.75" customHeight="1" x14ac:dyDescent="0.35"/>
    <row r="935" ht="12.75" customHeight="1" x14ac:dyDescent="0.35"/>
    <row r="936" ht="12.75" customHeight="1" x14ac:dyDescent="0.35"/>
    <row r="937" ht="12.75" customHeight="1" x14ac:dyDescent="0.35"/>
    <row r="938" ht="12.75" customHeight="1" x14ac:dyDescent="0.35"/>
    <row r="939" ht="12.75" customHeight="1" x14ac:dyDescent="0.35"/>
    <row r="940" ht="12.75" customHeight="1" x14ac:dyDescent="0.35"/>
    <row r="941" ht="12.75" customHeight="1" x14ac:dyDescent="0.35"/>
    <row r="942" ht="12.75" customHeight="1" x14ac:dyDescent="0.35"/>
    <row r="943" ht="12.75" customHeight="1" x14ac:dyDescent="0.35"/>
    <row r="944" ht="12.75" customHeight="1" x14ac:dyDescent="0.35"/>
    <row r="945" ht="12.75" customHeight="1" x14ac:dyDescent="0.35"/>
    <row r="946" ht="12.75" customHeight="1" x14ac:dyDescent="0.35"/>
    <row r="947" ht="12.75" customHeight="1" x14ac:dyDescent="0.35"/>
    <row r="948" ht="12.75" customHeight="1" x14ac:dyDescent="0.35"/>
    <row r="949" ht="12.75" customHeight="1" x14ac:dyDescent="0.35"/>
    <row r="950" ht="12.75" customHeight="1" x14ac:dyDescent="0.35"/>
    <row r="951" ht="12.75" customHeight="1" x14ac:dyDescent="0.35"/>
    <row r="952" ht="12.75" customHeight="1" x14ac:dyDescent="0.35"/>
    <row r="953" ht="12.75" customHeight="1" x14ac:dyDescent="0.35"/>
    <row r="954" ht="12.75" customHeight="1" x14ac:dyDescent="0.35"/>
    <row r="955" ht="12.75" customHeight="1" x14ac:dyDescent="0.35"/>
    <row r="956" ht="12.75" customHeight="1" x14ac:dyDescent="0.35"/>
    <row r="957" ht="12.75" customHeight="1" x14ac:dyDescent="0.35"/>
    <row r="958" ht="12.75" customHeight="1" x14ac:dyDescent="0.35"/>
    <row r="959" ht="12.75" customHeight="1" x14ac:dyDescent="0.35"/>
    <row r="960" ht="12.75" customHeight="1" x14ac:dyDescent="0.35"/>
    <row r="961" ht="12.75" customHeight="1" x14ac:dyDescent="0.35"/>
    <row r="962" ht="12.75" customHeight="1" x14ac:dyDescent="0.35"/>
    <row r="963" ht="12.75" customHeight="1" x14ac:dyDescent="0.35"/>
    <row r="964" ht="12.75" customHeight="1" x14ac:dyDescent="0.35"/>
    <row r="965" ht="12.75" customHeight="1" x14ac:dyDescent="0.35"/>
    <row r="966" ht="12.75" customHeight="1" x14ac:dyDescent="0.35"/>
    <row r="967" ht="12.75" customHeight="1" x14ac:dyDescent="0.35"/>
    <row r="968" ht="12.75" customHeight="1" x14ac:dyDescent="0.35"/>
    <row r="969" ht="12.75" customHeight="1" x14ac:dyDescent="0.35"/>
    <row r="970" ht="12.75" customHeight="1" x14ac:dyDescent="0.35"/>
    <row r="971" ht="12.75" customHeight="1" x14ac:dyDescent="0.35"/>
    <row r="972" ht="12.75" customHeight="1" x14ac:dyDescent="0.35"/>
    <row r="973" ht="12.75" customHeight="1" x14ac:dyDescent="0.35"/>
    <row r="974" ht="12.75" customHeight="1" x14ac:dyDescent="0.35"/>
    <row r="975" ht="12.75" customHeight="1" x14ac:dyDescent="0.35"/>
    <row r="976" ht="12.75" customHeight="1" x14ac:dyDescent="0.35"/>
    <row r="977" ht="12.75" customHeight="1" x14ac:dyDescent="0.35"/>
    <row r="978" ht="12.75" customHeight="1" x14ac:dyDescent="0.35"/>
    <row r="979" ht="12.75" customHeight="1" x14ac:dyDescent="0.35"/>
    <row r="980" ht="12.75" customHeight="1" x14ac:dyDescent="0.35"/>
    <row r="981" ht="12.75" customHeight="1" x14ac:dyDescent="0.35"/>
    <row r="982" ht="12.75" customHeight="1" x14ac:dyDescent="0.35"/>
    <row r="983" ht="12.75" customHeight="1" x14ac:dyDescent="0.35"/>
    <row r="984" ht="12.75" customHeight="1" x14ac:dyDescent="0.35"/>
    <row r="985" ht="12.75" customHeight="1" x14ac:dyDescent="0.35"/>
    <row r="986" ht="12.75" customHeight="1" x14ac:dyDescent="0.35"/>
    <row r="987" ht="12.75" customHeight="1" x14ac:dyDescent="0.35"/>
    <row r="988" ht="12.75" customHeight="1" x14ac:dyDescent="0.35"/>
    <row r="989" ht="12.75" customHeight="1" x14ac:dyDescent="0.35"/>
    <row r="990" ht="12.75" customHeight="1" x14ac:dyDescent="0.35"/>
    <row r="991" ht="12.75" customHeight="1" x14ac:dyDescent="0.35"/>
    <row r="992" ht="12.75" customHeight="1" x14ac:dyDescent="0.35"/>
    <row r="993" ht="12.75" customHeight="1" x14ac:dyDescent="0.35"/>
    <row r="994" ht="12.75" customHeight="1" x14ac:dyDescent="0.35"/>
    <row r="995" ht="12.75" customHeight="1" x14ac:dyDescent="0.35"/>
    <row r="996" ht="12.75" customHeight="1" x14ac:dyDescent="0.35"/>
    <row r="997" ht="12.75" customHeight="1" x14ac:dyDescent="0.35"/>
  </sheetData>
  <autoFilter ref="A1:AG267"/>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J26"/>
  <sheetViews>
    <sheetView workbookViewId="0"/>
  </sheetViews>
  <sheetFormatPr baseColWidth="10" defaultColWidth="14.453125" defaultRowHeight="15" customHeight="1" x14ac:dyDescent="0.35"/>
  <sheetData>
    <row r="1" spans="1:1" ht="14.5" x14ac:dyDescent="0.35">
      <c r="A1" s="5" t="s">
        <v>22</v>
      </c>
    </row>
    <row r="2" spans="1:1" ht="14.5" x14ac:dyDescent="0.35">
      <c r="A2" s="6" t="str">
        <f ca="1">IFERROR(__xludf.DUMMYFUNCTION("unique(Data!A2:A1000)"),"Benin")</f>
        <v>Benin</v>
      </c>
    </row>
    <row r="3" spans="1:1" ht="14.5" x14ac:dyDescent="0.35">
      <c r="A3" s="6" t="str">
        <f ca="1">IFERROR(__xludf.DUMMYFUNCTION("""COMPUTED_VALUE"""),"Belize")</f>
        <v>Belize</v>
      </c>
    </row>
    <row r="4" spans="1:1" ht="14.5" x14ac:dyDescent="0.35">
      <c r="A4" s="6" t="str">
        <f ca="1">IFERROR(__xludf.DUMMYFUNCTION("""COMPUTED_VALUE"""),"Brazil")</f>
        <v>Brazil</v>
      </c>
    </row>
    <row r="5" spans="1:1" ht="14.5" x14ac:dyDescent="0.35">
      <c r="A5" s="6" t="str">
        <f ca="1">IFERROR(__xludf.DUMMYFUNCTION("""COMPUTED_VALUE"""),"Africa Eastern and Southern")</f>
        <v>Africa Eastern and Southern</v>
      </c>
    </row>
    <row r="6" spans="1:1" ht="14.5" x14ac:dyDescent="0.35">
      <c r="A6" s="6" t="str">
        <f ca="1">IFERROR(__xludf.DUMMYFUNCTION("""COMPUTED_VALUE"""),"Angola")</f>
        <v>Angola</v>
      </c>
    </row>
    <row r="7" spans="1:1" ht="14.5" x14ac:dyDescent="0.35">
      <c r="A7" s="6" t="str">
        <f ca="1">IFERROR(__xludf.DUMMYFUNCTION("""COMPUTED_VALUE"""),"Bolivia")</f>
        <v>Bolivia</v>
      </c>
    </row>
    <row r="8" spans="1:1" ht="14.5" x14ac:dyDescent="0.35">
      <c r="A8" s="6" t="str">
        <f ca="1">IFERROR(__xludf.DUMMYFUNCTION("""COMPUTED_VALUE"""),"Botswana")</f>
        <v>Botswana</v>
      </c>
    </row>
    <row r="9" spans="1:1" ht="14.5" x14ac:dyDescent="0.35">
      <c r="A9" s="6" t="str">
        <f ca="1">IFERROR(__xludf.DUMMYFUNCTION("""COMPUTED_VALUE"""),"Brunei Darussalam")</f>
        <v>Brunei Darussalam</v>
      </c>
    </row>
    <row r="10" spans="1:1" ht="14.5" x14ac:dyDescent="0.35">
      <c r="A10" s="6" t="str">
        <f ca="1">IFERROR(__xludf.DUMMYFUNCTION("""COMPUTED_VALUE"""),"Burkina Faso")</f>
        <v>Burkina Faso</v>
      </c>
    </row>
    <row r="11" spans="1:1" ht="14.5" x14ac:dyDescent="0.35">
      <c r="A11" s="6" t="str">
        <f ca="1">IFERROR(__xludf.DUMMYFUNCTION("""COMPUTED_VALUE"""),"American Samoa")</f>
        <v>American Samoa</v>
      </c>
    </row>
    <row r="12" spans="1:1" ht="14.5" x14ac:dyDescent="0.35">
      <c r="A12" s="6" t="str">
        <f ca="1">IFERROR(__xludf.DUMMYFUNCTION("""COMPUTED_VALUE"""),"Antigua and Barbuda")</f>
        <v>Antigua and Barbuda</v>
      </c>
    </row>
    <row r="13" spans="1:1" ht="14.5" x14ac:dyDescent="0.35">
      <c r="A13" s="6" t="str">
        <f ca="1">IFERROR(__xludf.DUMMYFUNCTION("""COMPUTED_VALUE"""),"Africa Western and Central")</f>
        <v>Africa Western and Central</v>
      </c>
    </row>
    <row r="14" spans="1:1" ht="14.5" x14ac:dyDescent="0.35">
      <c r="A14" s="6" t="str">
        <f ca="1">IFERROR(__xludf.DUMMYFUNCTION("""COMPUTED_VALUE"""),"Argentina")</f>
        <v>Argentina</v>
      </c>
    </row>
    <row r="15" spans="1:1" ht="14.5" x14ac:dyDescent="0.35">
      <c r="A15" s="6" t="str">
        <f ca="1">IFERROR(__xludf.DUMMYFUNCTION("""COMPUTED_VALUE"""),"Central African Republic")</f>
        <v>Central African Republic</v>
      </c>
    </row>
    <row r="16" spans="1:1" ht="14.5" x14ac:dyDescent="0.35">
      <c r="A16" s="6" t="str">
        <f ca="1">IFERROR(__xludf.DUMMYFUNCTION("""COMPUTED_VALUE"""),"Belgium")</f>
        <v>Belgium</v>
      </c>
    </row>
    <row r="17" spans="1:36" ht="14.5" x14ac:dyDescent="0.35">
      <c r="A17" s="6" t="str">
        <f ca="1">IFERROR(__xludf.DUMMYFUNCTION("""COMPUTED_VALUE"""),"Bosnia and Herzegovina")</f>
        <v>Bosnia and Herzegovina</v>
      </c>
    </row>
    <row r="18" spans="1:36" ht="14.5" x14ac:dyDescent="0.35">
      <c r="A18" s="6" t="str">
        <f ca="1">IFERROR(__xludf.DUMMYFUNCTION("""COMPUTED_VALUE"""),"Bangladesh")</f>
        <v>Bangladesh</v>
      </c>
    </row>
    <row r="19" spans="1:36" ht="14.5" x14ac:dyDescent="0.35">
      <c r="A19" s="6" t="str">
        <f ca="1">IFERROR(__xludf.DUMMYFUNCTION("""COMPUTED_VALUE"""),"Armenia")</f>
        <v>Armenia</v>
      </c>
    </row>
    <row r="20" spans="1:36" ht="14.5" x14ac:dyDescent="0.35">
      <c r="A20" s="6" t="str">
        <f ca="1">IFERROR(__xludf.DUMMYFUNCTION("""COMPUTED_VALUE"""),"Canada")</f>
        <v>Canada</v>
      </c>
    </row>
    <row r="21" spans="1:36" ht="14.5" x14ac:dyDescent="0.35">
      <c r="A21" s="6" t="str">
        <f ca="1">IFERROR(__xludf.DUMMYFUNCTION("""COMPUTED_VALUE"""),"Australia")</f>
        <v>Australia</v>
      </c>
    </row>
    <row r="22" spans="1:36" ht="14.5" x14ac:dyDescent="0.35">
      <c r="A22" s="6"/>
    </row>
    <row r="25" spans="1:36" ht="12.75" customHeight="1" x14ac:dyDescent="0.35">
      <c r="A25" s="1" t="s">
        <v>0</v>
      </c>
      <c r="B25" s="1" t="s">
        <v>23</v>
      </c>
      <c r="C25" s="1" t="s">
        <v>24</v>
      </c>
      <c r="D25" s="1" t="s">
        <v>25</v>
      </c>
      <c r="E25" s="1">
        <v>1990</v>
      </c>
      <c r="F25" s="1">
        <v>1991</v>
      </c>
      <c r="G25" s="1">
        <v>1992</v>
      </c>
      <c r="H25" s="1">
        <v>1993</v>
      </c>
      <c r="I25" s="1">
        <v>1994</v>
      </c>
      <c r="J25" s="1">
        <v>1995</v>
      </c>
      <c r="K25" s="1">
        <v>1996</v>
      </c>
      <c r="L25" s="1">
        <v>1997</v>
      </c>
      <c r="M25" s="1">
        <v>1998</v>
      </c>
      <c r="N25" s="1">
        <v>1999</v>
      </c>
      <c r="O25" s="1">
        <v>2000</v>
      </c>
      <c r="P25" s="1">
        <v>2001</v>
      </c>
      <c r="Q25" s="1">
        <v>2002</v>
      </c>
      <c r="R25" s="1">
        <v>2003</v>
      </c>
      <c r="S25" s="1">
        <v>2004</v>
      </c>
      <c r="T25" s="1">
        <v>2005</v>
      </c>
      <c r="U25" s="1">
        <v>2006</v>
      </c>
      <c r="V25" s="1">
        <v>2007</v>
      </c>
      <c r="W25" s="1">
        <v>2008</v>
      </c>
      <c r="X25" s="1">
        <v>2009</v>
      </c>
      <c r="Y25" s="1">
        <v>2010</v>
      </c>
      <c r="Z25" s="1">
        <v>2011</v>
      </c>
      <c r="AA25" s="1">
        <v>2012</v>
      </c>
      <c r="AB25" s="1">
        <v>2013</v>
      </c>
      <c r="AC25" s="1">
        <v>2014</v>
      </c>
      <c r="AD25" s="1">
        <v>2015</v>
      </c>
      <c r="AE25" s="1">
        <v>2016</v>
      </c>
      <c r="AF25" s="1">
        <v>2017</v>
      </c>
      <c r="AG25" s="1">
        <v>2018</v>
      </c>
      <c r="AH25" s="1">
        <v>2019</v>
      </c>
      <c r="AI25" s="1">
        <v>2020</v>
      </c>
      <c r="AJ25" s="1" t="s">
        <v>1</v>
      </c>
    </row>
    <row r="26" spans="1:36" ht="14.5" x14ac:dyDescent="0.35">
      <c r="A26" s="6" t="str">
        <f ca="1">IFERROR(__xludf.DUMMYFUNCTION("filter(Data!A:AG,Data!A:A=Dashboard_!B5)"),"Botswana")</f>
        <v>Botswana</v>
      </c>
      <c r="B26" s="6">
        <f ca="1">IFERROR(__xludf.DUMMYFUNCTION("""COMPUTED_VALUE"""),33.1792917)</f>
        <v>33.1792917</v>
      </c>
      <c r="C26" s="6">
        <f ca="1">IFERROR(__xludf.DUMMYFUNCTION("""COMPUTED_VALUE"""),32.9705504)</f>
        <v>32.9705504</v>
      </c>
      <c r="D26" s="6">
        <f ca="1">IFERROR(__xludf.DUMMYFUNCTION("""COMPUTED_VALUE"""),32.761809)</f>
        <v>32.761809</v>
      </c>
      <c r="E26" s="6">
        <f ca="1">IFERROR(__xludf.DUMMYFUNCTION("""COMPUTED_VALUE"""),32.5530676)</f>
        <v>32.553067599999999</v>
      </c>
      <c r="F26" s="6">
        <f ca="1">IFERROR(__xludf.DUMMYFUNCTION("""COMPUTED_VALUE"""),32.3443262)</f>
        <v>32.344326199999998</v>
      </c>
      <c r="G26" s="6">
        <f ca="1">IFERROR(__xludf.DUMMYFUNCTION("""COMPUTED_VALUE"""),32.1355848)</f>
        <v>32.135584799999997</v>
      </c>
      <c r="H26" s="6">
        <f ca="1">IFERROR(__xludf.DUMMYFUNCTION("""COMPUTED_VALUE"""),31.9268435)</f>
        <v>31.9268435</v>
      </c>
      <c r="I26" s="6">
        <f ca="1">IFERROR(__xludf.DUMMYFUNCTION("""COMPUTED_VALUE"""),31.7181021)</f>
        <v>31.718102099999999</v>
      </c>
      <c r="J26" s="6">
        <f ca="1">IFERROR(__xludf.DUMMYFUNCTION("""COMPUTED_VALUE"""),31.5093607)</f>
        <v>31.509360699999998</v>
      </c>
      <c r="K26" s="6">
        <f ca="1">IFERROR(__xludf.DUMMYFUNCTION("""COMPUTED_VALUE"""),31.3006193)</f>
        <v>31.300619300000001</v>
      </c>
      <c r="L26" s="6">
        <f ca="1">IFERROR(__xludf.DUMMYFUNCTION("""COMPUTED_VALUE"""),31.091878)</f>
        <v>31.091878000000001</v>
      </c>
      <c r="M26" s="6">
        <f ca="1">IFERROR(__xludf.DUMMYFUNCTION("""COMPUTED_VALUE"""),30.8831366)</f>
        <v>30.8831366</v>
      </c>
      <c r="N26" s="6">
        <f ca="1">IFERROR(__xludf.DUMMYFUNCTION("""COMPUTED_VALUE"""),30.6743952)</f>
        <v>30.674395199999999</v>
      </c>
      <c r="O26" s="6">
        <f ca="1">IFERROR(__xludf.DUMMYFUNCTION("""COMPUTED_VALUE"""),30.4656538)</f>
        <v>30.465653799999998</v>
      </c>
      <c r="P26" s="6">
        <f ca="1">IFERROR(__xludf.DUMMYFUNCTION("""COMPUTED_VALUE"""),30.2569125)</f>
        <v>30.256912499999999</v>
      </c>
      <c r="Q26" s="6">
        <f ca="1">IFERROR(__xludf.DUMMYFUNCTION("""COMPUTED_VALUE"""),30.0481711)</f>
        <v>30.048171100000001</v>
      </c>
      <c r="R26" s="6">
        <f ca="1">IFERROR(__xludf.DUMMYFUNCTION("""COMPUTED_VALUE"""),29.8394297)</f>
        <v>29.8394297</v>
      </c>
      <c r="S26" s="6">
        <f ca="1">IFERROR(__xludf.DUMMYFUNCTION("""COMPUTED_VALUE"""),29.6306883)</f>
        <v>29.630688299999999</v>
      </c>
      <c r="T26" s="6">
        <f ca="1">IFERROR(__xludf.DUMMYFUNCTION("""COMPUTED_VALUE"""),29.421947)</f>
        <v>29.421946999999999</v>
      </c>
      <c r="U26" s="6">
        <f ca="1">IFERROR(__xludf.DUMMYFUNCTION("""COMPUTED_VALUE"""),29.2132056)</f>
        <v>29.213205599999998</v>
      </c>
      <c r="V26" s="6">
        <f ca="1">IFERROR(__xludf.DUMMYFUNCTION("""COMPUTED_VALUE"""),29.0044642)</f>
        <v>29.004464200000001</v>
      </c>
      <c r="W26" s="6">
        <f ca="1">IFERROR(__xludf.DUMMYFUNCTION("""COMPUTED_VALUE"""),28.7957228)</f>
        <v>28.7957228</v>
      </c>
      <c r="X26" s="6">
        <f ca="1">IFERROR(__xludf.DUMMYFUNCTION("""COMPUTED_VALUE"""),28.5869815)</f>
        <v>28.5869815</v>
      </c>
      <c r="Y26" s="6">
        <f ca="1">IFERROR(__xludf.DUMMYFUNCTION("""COMPUTED_VALUE"""),28.3782401)</f>
        <v>28.378240099999999</v>
      </c>
      <c r="Z26" s="6">
        <f ca="1">IFERROR(__xludf.DUMMYFUNCTION("""COMPUTED_VALUE"""),28.1694987)</f>
        <v>28.169498699999998</v>
      </c>
      <c r="AA26" s="6">
        <f ca="1">IFERROR(__xludf.DUMMYFUNCTION("""COMPUTED_VALUE"""),27.9607573)</f>
        <v>27.960757300000001</v>
      </c>
      <c r="AB26" s="6">
        <f ca="1">IFERROR(__xludf.DUMMYFUNCTION("""COMPUTED_VALUE"""),27.752016)</f>
        <v>27.752016000000001</v>
      </c>
      <c r="AC26" s="6">
        <f ca="1">IFERROR(__xludf.DUMMYFUNCTION("""COMPUTED_VALUE"""),27.5432746)</f>
        <v>27.5432746</v>
      </c>
      <c r="AD26" s="6">
        <f ca="1">IFERROR(__xludf.DUMMYFUNCTION("""COMPUTED_VALUE"""),27.3345332)</f>
        <v>27.334533199999999</v>
      </c>
      <c r="AE26" s="6">
        <f ca="1">IFERROR(__xludf.DUMMYFUNCTION("""COMPUTED_VALUE"""),27.1257918)</f>
        <v>27.125791799999998</v>
      </c>
      <c r="AF26" s="6">
        <f ca="1">IFERROR(__xludf.DUMMYFUNCTION("""COMPUTED_VALUE"""),26.9170504)</f>
        <v>26.917050400000001</v>
      </c>
      <c r="AG26" s="6">
        <f ca="1">IFERROR(__xludf.DUMMYFUNCTION("""COMPUTED_VALUE"""),6.26224129999999)</f>
        <v>6.2622412999999897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Views>
    <sheetView tabSelected="1" topLeftCell="A11" workbookViewId="0"/>
  </sheetViews>
  <sheetFormatPr baseColWidth="10" defaultColWidth="14.453125" defaultRowHeight="15" customHeight="1" x14ac:dyDescent="0.35"/>
  <sheetData>
    <row r="1" spans="1:10" x14ac:dyDescent="0.35">
      <c r="C1" s="10" t="s">
        <v>26</v>
      </c>
      <c r="D1" s="11"/>
      <c r="E1" s="11"/>
      <c r="F1" s="11"/>
      <c r="G1" s="11"/>
      <c r="H1" s="11"/>
      <c r="I1" s="11"/>
      <c r="J1" s="11"/>
    </row>
    <row r="2" spans="1:10" ht="15" customHeight="1" x14ac:dyDescent="0.35">
      <c r="C2" s="11"/>
      <c r="D2" s="11"/>
      <c r="E2" s="11"/>
      <c r="F2" s="11"/>
      <c r="G2" s="11"/>
      <c r="H2" s="11"/>
      <c r="I2" s="11"/>
      <c r="J2" s="11"/>
    </row>
    <row r="4" spans="1:10" x14ac:dyDescent="0.35">
      <c r="A4" s="5" t="s">
        <v>27</v>
      </c>
    </row>
    <row r="5" spans="1:10" x14ac:dyDescent="0.35">
      <c r="A5" s="5" t="s">
        <v>22</v>
      </c>
      <c r="B5" s="7" t="s">
        <v>8</v>
      </c>
      <c r="C5" s="5" t="s">
        <v>28</v>
      </c>
    </row>
    <row r="7" spans="1:10" x14ac:dyDescent="0.35">
      <c r="A7" s="5" t="s">
        <v>29</v>
      </c>
      <c r="B7" s="8">
        <f>SUMIFS(Data!AF:AF,Data!A:A,B5)</f>
        <v>26.917050400000001</v>
      </c>
      <c r="C7" s="5" t="s">
        <v>30</v>
      </c>
    </row>
  </sheetData>
  <mergeCells count="1">
    <mergeCell ref="C1:J2"/>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x14:formula1>
            <xm:f>Service!$A$2:$A1000</xm:f>
          </x14:formula1>
          <xm:sqref>B5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baseColWidth="10" defaultColWidth="14.453125" defaultRowHeight="15" customHeight="1" x14ac:dyDescent="0.35"/>
  <cols>
    <col min="1" max="5" width="17.54296875" customWidth="1"/>
    <col min="6" max="26" width="8" customWidth="1"/>
  </cols>
  <sheetData>
    <row r="1" spans="1:5" ht="12.75" customHeight="1" x14ac:dyDescent="0.35">
      <c r="A1" s="6" t="s">
        <v>23</v>
      </c>
      <c r="B1" s="6" t="s">
        <v>31</v>
      </c>
      <c r="C1" s="6" t="s">
        <v>32</v>
      </c>
      <c r="D1" s="6" t="s">
        <v>33</v>
      </c>
      <c r="E1" s="6" t="s">
        <v>34</v>
      </c>
    </row>
    <row r="2" spans="1:5" ht="12.75" customHeight="1" x14ac:dyDescent="0.35">
      <c r="A2" s="6" t="s">
        <v>35</v>
      </c>
      <c r="B2" s="6" t="s">
        <v>36</v>
      </c>
      <c r="C2" s="6" t="s">
        <v>37</v>
      </c>
      <c r="E2" s="6" t="s">
        <v>38</v>
      </c>
    </row>
    <row r="3" spans="1:5" ht="12.75" customHeight="1" x14ac:dyDescent="0.35">
      <c r="A3" s="6" t="s">
        <v>39</v>
      </c>
      <c r="D3" s="6" t="s">
        <v>40</v>
      </c>
      <c r="E3" s="6" t="s">
        <v>5</v>
      </c>
    </row>
    <row r="4" spans="1:5" ht="12.75" customHeight="1" x14ac:dyDescent="0.35">
      <c r="A4" s="6" t="s">
        <v>41</v>
      </c>
      <c r="B4" s="6" t="s">
        <v>42</v>
      </c>
      <c r="C4" s="6" t="s">
        <v>43</v>
      </c>
      <c r="D4" s="6" t="s">
        <v>44</v>
      </c>
      <c r="E4" s="6" t="s">
        <v>45</v>
      </c>
    </row>
    <row r="5" spans="1:5" ht="12.75" customHeight="1" x14ac:dyDescent="0.35">
      <c r="A5" s="6" t="s">
        <v>46</v>
      </c>
      <c r="D5" s="6" t="s">
        <v>47</v>
      </c>
      <c r="E5" s="6" t="s">
        <v>13</v>
      </c>
    </row>
    <row r="6" spans="1:5" ht="12.75" customHeight="1" x14ac:dyDescent="0.35">
      <c r="A6" s="6" t="s">
        <v>48</v>
      </c>
      <c r="B6" s="6" t="s">
        <v>49</v>
      </c>
      <c r="C6" s="6" t="s">
        <v>50</v>
      </c>
      <c r="E6" s="6" t="s">
        <v>6</v>
      </c>
    </row>
    <row r="7" spans="1:5" ht="12.75" customHeight="1" x14ac:dyDescent="0.35">
      <c r="A7" s="6" t="s">
        <v>51</v>
      </c>
      <c r="B7" s="6" t="s">
        <v>52</v>
      </c>
      <c r="C7" s="6" t="s">
        <v>53</v>
      </c>
      <c r="E7" s="6" t="s">
        <v>54</v>
      </c>
    </row>
    <row r="8" spans="1:5" ht="12.75" customHeight="1" x14ac:dyDescent="0.35">
      <c r="A8" s="6" t="s">
        <v>55</v>
      </c>
      <c r="B8" s="6" t="s">
        <v>52</v>
      </c>
      <c r="C8" s="6" t="s">
        <v>37</v>
      </c>
      <c r="E8" s="6" t="s">
        <v>56</v>
      </c>
    </row>
    <row r="9" spans="1:5" ht="12.75" customHeight="1" x14ac:dyDescent="0.35">
      <c r="A9" s="6" t="s">
        <v>57</v>
      </c>
      <c r="D9" s="6" t="s">
        <v>58</v>
      </c>
      <c r="E9" s="6" t="s">
        <v>59</v>
      </c>
    </row>
    <row r="10" spans="1:5" ht="12.75" customHeight="1" x14ac:dyDescent="0.35">
      <c r="A10" s="6" t="s">
        <v>60</v>
      </c>
      <c r="B10" s="6" t="s">
        <v>61</v>
      </c>
      <c r="C10" s="6" t="s">
        <v>37</v>
      </c>
      <c r="E10" s="6" t="s">
        <v>62</v>
      </c>
    </row>
    <row r="11" spans="1:5" ht="12.75" customHeight="1" x14ac:dyDescent="0.35">
      <c r="A11" s="6" t="s">
        <v>63</v>
      </c>
      <c r="B11" s="6" t="s">
        <v>36</v>
      </c>
      <c r="C11" s="6" t="s">
        <v>53</v>
      </c>
      <c r="E11" s="6" t="s">
        <v>14</v>
      </c>
    </row>
    <row r="12" spans="1:5" ht="12.75" customHeight="1" x14ac:dyDescent="0.35">
      <c r="A12" s="6" t="s">
        <v>64</v>
      </c>
      <c r="B12" s="6" t="s">
        <v>52</v>
      </c>
      <c r="C12" s="6" t="s">
        <v>53</v>
      </c>
      <c r="E12" s="6" t="s">
        <v>19</v>
      </c>
    </row>
    <row r="13" spans="1:5" ht="12.75" customHeight="1" x14ac:dyDescent="0.35">
      <c r="A13" s="6" t="s">
        <v>65</v>
      </c>
      <c r="B13" s="6" t="s">
        <v>66</v>
      </c>
      <c r="C13" s="6" t="s">
        <v>53</v>
      </c>
      <c r="E13" s="6" t="s">
        <v>11</v>
      </c>
    </row>
    <row r="14" spans="1:5" ht="12.75" customHeight="1" x14ac:dyDescent="0.35">
      <c r="A14" s="6" t="s">
        <v>67</v>
      </c>
      <c r="B14" s="6" t="s">
        <v>36</v>
      </c>
      <c r="C14" s="6" t="s">
        <v>37</v>
      </c>
      <c r="E14" s="6" t="s">
        <v>12</v>
      </c>
    </row>
    <row r="15" spans="1:5" ht="12.75" customHeight="1" x14ac:dyDescent="0.35">
      <c r="A15" s="6" t="s">
        <v>68</v>
      </c>
      <c r="B15" s="6" t="s">
        <v>66</v>
      </c>
      <c r="C15" s="6" t="s">
        <v>37</v>
      </c>
      <c r="D15" s="6" t="s">
        <v>69</v>
      </c>
      <c r="E15" s="6" t="s">
        <v>21</v>
      </c>
    </row>
    <row r="16" spans="1:5" ht="12.75" customHeight="1" x14ac:dyDescent="0.35">
      <c r="A16" s="6" t="s">
        <v>70</v>
      </c>
      <c r="B16" s="6" t="s">
        <v>52</v>
      </c>
      <c r="C16" s="6" t="s">
        <v>37</v>
      </c>
      <c r="D16" s="6" t="s">
        <v>71</v>
      </c>
      <c r="E16" s="6" t="s">
        <v>72</v>
      </c>
    </row>
    <row r="17" spans="1:5" ht="12.75" customHeight="1" x14ac:dyDescent="0.35">
      <c r="A17" s="6" t="s">
        <v>73</v>
      </c>
      <c r="B17" s="6" t="s">
        <v>52</v>
      </c>
      <c r="C17" s="6" t="s">
        <v>53</v>
      </c>
      <c r="E17" s="6" t="s">
        <v>74</v>
      </c>
    </row>
    <row r="18" spans="1:5" ht="12.75" customHeight="1" x14ac:dyDescent="0.35">
      <c r="A18" s="6" t="s">
        <v>75</v>
      </c>
      <c r="B18" s="6" t="s">
        <v>49</v>
      </c>
      <c r="C18" s="6" t="s">
        <v>43</v>
      </c>
      <c r="E18" s="6" t="s">
        <v>76</v>
      </c>
    </row>
    <row r="19" spans="1:5" ht="12.75" customHeight="1" x14ac:dyDescent="0.35">
      <c r="A19" s="6" t="s">
        <v>77</v>
      </c>
      <c r="B19" s="6" t="s">
        <v>52</v>
      </c>
      <c r="C19" s="6" t="s">
        <v>37</v>
      </c>
      <c r="D19" s="6" t="s">
        <v>78</v>
      </c>
      <c r="E19" s="6" t="s">
        <v>16</v>
      </c>
    </row>
    <row r="20" spans="1:5" ht="12.75" customHeight="1" x14ac:dyDescent="0.35">
      <c r="A20" s="6" t="s">
        <v>79</v>
      </c>
      <c r="B20" s="6" t="s">
        <v>49</v>
      </c>
      <c r="C20" s="6" t="s">
        <v>50</v>
      </c>
      <c r="E20" s="6" t="s">
        <v>2</v>
      </c>
    </row>
    <row r="21" spans="1:5" ht="12.75" customHeight="1" x14ac:dyDescent="0.35">
      <c r="A21" s="6" t="s">
        <v>80</v>
      </c>
      <c r="B21" s="6" t="s">
        <v>49</v>
      </c>
      <c r="C21" s="6" t="s">
        <v>43</v>
      </c>
      <c r="E21" s="6" t="s">
        <v>10</v>
      </c>
    </row>
    <row r="22" spans="1:5" ht="12.75" customHeight="1" x14ac:dyDescent="0.35">
      <c r="A22" s="6" t="s">
        <v>81</v>
      </c>
      <c r="B22" s="6" t="s">
        <v>42</v>
      </c>
      <c r="C22" s="6" t="s">
        <v>50</v>
      </c>
      <c r="D22" s="6" t="s">
        <v>69</v>
      </c>
      <c r="E22" s="6" t="s">
        <v>18</v>
      </c>
    </row>
    <row r="23" spans="1:5" ht="12.75" customHeight="1" x14ac:dyDescent="0.35">
      <c r="A23" s="6" t="s">
        <v>82</v>
      </c>
      <c r="B23" s="6" t="s">
        <v>52</v>
      </c>
      <c r="C23" s="6" t="s">
        <v>53</v>
      </c>
      <c r="E23" s="6" t="s">
        <v>83</v>
      </c>
    </row>
    <row r="24" spans="1:5" ht="12.75" customHeight="1" x14ac:dyDescent="0.35">
      <c r="A24" s="6" t="s">
        <v>84</v>
      </c>
      <c r="B24" s="6" t="s">
        <v>61</v>
      </c>
      <c r="C24" s="6" t="s">
        <v>37</v>
      </c>
      <c r="E24" s="6" t="s">
        <v>85</v>
      </c>
    </row>
    <row r="25" spans="1:5" ht="12.75" customHeight="1" x14ac:dyDescent="0.35">
      <c r="A25" s="6" t="s">
        <v>86</v>
      </c>
      <c r="B25" s="6" t="s">
        <v>36</v>
      </c>
      <c r="C25" s="6" t="s">
        <v>37</v>
      </c>
      <c r="E25" s="6" t="s">
        <v>87</v>
      </c>
    </row>
    <row r="26" spans="1:5" ht="12.75" customHeight="1" x14ac:dyDescent="0.35">
      <c r="A26" s="6" t="s">
        <v>88</v>
      </c>
      <c r="B26" s="6" t="s">
        <v>52</v>
      </c>
      <c r="C26" s="6" t="s">
        <v>53</v>
      </c>
      <c r="E26" s="6" t="s">
        <v>17</v>
      </c>
    </row>
    <row r="27" spans="1:5" ht="12.75" customHeight="1" x14ac:dyDescent="0.35">
      <c r="A27" s="6" t="s">
        <v>89</v>
      </c>
      <c r="B27" s="6" t="s">
        <v>52</v>
      </c>
      <c r="C27" s="6" t="s">
        <v>53</v>
      </c>
      <c r="D27" s="6" t="s">
        <v>90</v>
      </c>
      <c r="E27" s="6" t="s">
        <v>91</v>
      </c>
    </row>
    <row r="28" spans="1:5" ht="12.75" customHeight="1" x14ac:dyDescent="0.35">
      <c r="A28" s="6" t="s">
        <v>92</v>
      </c>
      <c r="B28" s="6" t="s">
        <v>36</v>
      </c>
      <c r="C28" s="6" t="s">
        <v>50</v>
      </c>
      <c r="E28" s="6" t="s">
        <v>3</v>
      </c>
    </row>
    <row r="29" spans="1:5" ht="12.75" customHeight="1" x14ac:dyDescent="0.35">
      <c r="A29" s="6" t="s">
        <v>93</v>
      </c>
      <c r="B29" s="6" t="s">
        <v>94</v>
      </c>
      <c r="C29" s="6" t="s">
        <v>37</v>
      </c>
      <c r="E29" s="6" t="s">
        <v>95</v>
      </c>
    </row>
    <row r="30" spans="1:5" ht="12.75" customHeight="1" x14ac:dyDescent="0.35">
      <c r="A30" s="6" t="s">
        <v>96</v>
      </c>
      <c r="B30" s="6" t="s">
        <v>36</v>
      </c>
      <c r="C30" s="6" t="s">
        <v>50</v>
      </c>
      <c r="E30" s="6" t="s">
        <v>7</v>
      </c>
    </row>
    <row r="31" spans="1:5" ht="12.75" customHeight="1" x14ac:dyDescent="0.35">
      <c r="A31" s="6" t="s">
        <v>97</v>
      </c>
      <c r="B31" s="6" t="s">
        <v>36</v>
      </c>
      <c r="C31" s="6" t="s">
        <v>53</v>
      </c>
      <c r="E31" s="6" t="s">
        <v>4</v>
      </c>
    </row>
    <row r="32" spans="1:5" ht="12.75" customHeight="1" x14ac:dyDescent="0.35">
      <c r="A32" s="6" t="s">
        <v>98</v>
      </c>
      <c r="B32" s="6" t="s">
        <v>36</v>
      </c>
      <c r="C32" s="6" t="s">
        <v>37</v>
      </c>
      <c r="E32" s="6" t="s">
        <v>99</v>
      </c>
    </row>
    <row r="33" spans="1:5" ht="12.75" customHeight="1" x14ac:dyDescent="0.35">
      <c r="A33" s="6" t="s">
        <v>100</v>
      </c>
      <c r="B33" s="6" t="s">
        <v>66</v>
      </c>
      <c r="C33" s="6" t="s">
        <v>37</v>
      </c>
      <c r="E33" s="6" t="s">
        <v>9</v>
      </c>
    </row>
    <row r="34" spans="1:5" ht="12.75" customHeight="1" x14ac:dyDescent="0.35">
      <c r="A34" s="6" t="s">
        <v>101</v>
      </c>
      <c r="B34" s="6" t="s">
        <v>42</v>
      </c>
      <c r="C34" s="6" t="s">
        <v>50</v>
      </c>
      <c r="E34" s="6" t="s">
        <v>102</v>
      </c>
    </row>
    <row r="35" spans="1:5" ht="12.75" customHeight="1" x14ac:dyDescent="0.35">
      <c r="A35" s="6" t="s">
        <v>103</v>
      </c>
      <c r="B35" s="6" t="s">
        <v>49</v>
      </c>
      <c r="C35" s="6" t="s">
        <v>53</v>
      </c>
      <c r="E35" s="6" t="s">
        <v>8</v>
      </c>
    </row>
    <row r="36" spans="1:5" ht="12.75" customHeight="1" x14ac:dyDescent="0.35">
      <c r="A36" s="6" t="s">
        <v>104</v>
      </c>
      <c r="B36" s="6" t="s">
        <v>49</v>
      </c>
      <c r="C36" s="6" t="s">
        <v>43</v>
      </c>
      <c r="E36" s="6" t="s">
        <v>15</v>
      </c>
    </row>
    <row r="37" spans="1:5" ht="12.75" customHeight="1" x14ac:dyDescent="0.35">
      <c r="A37" s="6" t="s">
        <v>105</v>
      </c>
      <c r="B37" s="6" t="s">
        <v>94</v>
      </c>
      <c r="C37" s="6" t="s">
        <v>37</v>
      </c>
      <c r="D37" s="6" t="s">
        <v>106</v>
      </c>
      <c r="E37" s="6" t="s">
        <v>20</v>
      </c>
    </row>
    <row r="38" spans="1:5" ht="12.75" customHeight="1" x14ac:dyDescent="0.35">
      <c r="A38" s="6" t="s">
        <v>107</v>
      </c>
      <c r="D38" s="6" t="s">
        <v>108</v>
      </c>
      <c r="E38" s="6" t="s">
        <v>109</v>
      </c>
    </row>
    <row r="39" spans="1:5" ht="12.75" customHeight="1" x14ac:dyDescent="0.35">
      <c r="A39" s="6" t="s">
        <v>110</v>
      </c>
      <c r="B39" s="6" t="s">
        <v>52</v>
      </c>
      <c r="C39" s="6" t="s">
        <v>37</v>
      </c>
      <c r="E39" s="6" t="s">
        <v>111</v>
      </c>
    </row>
    <row r="40" spans="1:5" ht="12.75" customHeight="1" x14ac:dyDescent="0.35">
      <c r="A40" s="6" t="s">
        <v>112</v>
      </c>
      <c r="B40" s="6" t="s">
        <v>52</v>
      </c>
      <c r="C40" s="6" t="s">
        <v>37</v>
      </c>
      <c r="E40" s="6" t="s">
        <v>113</v>
      </c>
    </row>
    <row r="41" spans="1:5" ht="12.75" customHeight="1" x14ac:dyDescent="0.35">
      <c r="A41" s="6" t="s">
        <v>114</v>
      </c>
      <c r="B41" s="6" t="s">
        <v>36</v>
      </c>
      <c r="C41" s="6" t="s">
        <v>37</v>
      </c>
      <c r="E41" s="6" t="s">
        <v>115</v>
      </c>
    </row>
    <row r="42" spans="1:5" ht="12.75" customHeight="1" x14ac:dyDescent="0.35">
      <c r="A42" s="6" t="s">
        <v>116</v>
      </c>
      <c r="B42" s="6" t="s">
        <v>66</v>
      </c>
      <c r="C42" s="6" t="s">
        <v>53</v>
      </c>
      <c r="D42" s="6" t="s">
        <v>117</v>
      </c>
      <c r="E42" s="6" t="s">
        <v>118</v>
      </c>
    </row>
    <row r="43" spans="1:5" ht="12.75" customHeight="1" x14ac:dyDescent="0.35">
      <c r="A43" s="6" t="s">
        <v>119</v>
      </c>
      <c r="B43" s="6" t="s">
        <v>49</v>
      </c>
      <c r="C43" s="6" t="s">
        <v>50</v>
      </c>
      <c r="E43" s="6" t="s">
        <v>120</v>
      </c>
    </row>
    <row r="44" spans="1:5" ht="12.75" customHeight="1" x14ac:dyDescent="0.35">
      <c r="A44" s="6" t="s">
        <v>121</v>
      </c>
      <c r="B44" s="6" t="s">
        <v>49</v>
      </c>
      <c r="C44" s="6" t="s">
        <v>50</v>
      </c>
      <c r="E44" s="6" t="s">
        <v>122</v>
      </c>
    </row>
    <row r="45" spans="1:5" ht="12.75" customHeight="1" x14ac:dyDescent="0.35">
      <c r="A45" s="6" t="s">
        <v>123</v>
      </c>
      <c r="B45" s="6" t="s">
        <v>49</v>
      </c>
      <c r="C45" s="6" t="s">
        <v>43</v>
      </c>
      <c r="E45" s="6" t="s">
        <v>124</v>
      </c>
    </row>
    <row r="46" spans="1:5" ht="12.75" customHeight="1" x14ac:dyDescent="0.35">
      <c r="A46" s="6" t="s">
        <v>125</v>
      </c>
      <c r="B46" s="6" t="s">
        <v>49</v>
      </c>
      <c r="C46" s="6" t="s">
        <v>50</v>
      </c>
      <c r="E46" s="6" t="s">
        <v>126</v>
      </c>
    </row>
    <row r="47" spans="1:5" ht="12.75" customHeight="1" x14ac:dyDescent="0.35">
      <c r="A47" s="6" t="s">
        <v>127</v>
      </c>
      <c r="B47" s="6" t="s">
        <v>36</v>
      </c>
      <c r="C47" s="6" t="s">
        <v>53</v>
      </c>
      <c r="E47" s="6" t="s">
        <v>128</v>
      </c>
    </row>
    <row r="48" spans="1:5" ht="12.75" customHeight="1" x14ac:dyDescent="0.35">
      <c r="A48" s="6" t="s">
        <v>129</v>
      </c>
      <c r="B48" s="6" t="s">
        <v>49</v>
      </c>
      <c r="C48" s="6" t="s">
        <v>50</v>
      </c>
      <c r="E48" s="6" t="s">
        <v>130</v>
      </c>
    </row>
    <row r="49" spans="1:5" ht="12.75" customHeight="1" x14ac:dyDescent="0.35">
      <c r="A49" s="6" t="s">
        <v>131</v>
      </c>
      <c r="B49" s="6" t="s">
        <v>49</v>
      </c>
      <c r="C49" s="6" t="s">
        <v>50</v>
      </c>
      <c r="E49" s="6" t="s">
        <v>132</v>
      </c>
    </row>
    <row r="50" spans="1:5" ht="12.75" customHeight="1" x14ac:dyDescent="0.35">
      <c r="A50" s="6" t="s">
        <v>133</v>
      </c>
      <c r="B50" s="6" t="s">
        <v>36</v>
      </c>
      <c r="C50" s="6" t="s">
        <v>53</v>
      </c>
      <c r="E50" s="6" t="s">
        <v>134</v>
      </c>
    </row>
    <row r="51" spans="1:5" ht="12.75" customHeight="1" x14ac:dyDescent="0.35">
      <c r="A51" s="6" t="s">
        <v>135</v>
      </c>
      <c r="E51" s="6" t="s">
        <v>136</v>
      </c>
    </row>
    <row r="52" spans="1:5" ht="12.75" customHeight="1" x14ac:dyDescent="0.35">
      <c r="A52" s="6" t="s">
        <v>137</v>
      </c>
      <c r="B52" s="6" t="s">
        <v>36</v>
      </c>
      <c r="C52" s="6" t="s">
        <v>53</v>
      </c>
      <c r="E52" s="6" t="s">
        <v>138</v>
      </c>
    </row>
    <row r="53" spans="1:5" ht="12.75" customHeight="1" x14ac:dyDescent="0.35">
      <c r="A53" s="6" t="s">
        <v>139</v>
      </c>
      <c r="B53" s="6" t="s">
        <v>36</v>
      </c>
      <c r="C53" s="6" t="s">
        <v>37</v>
      </c>
      <c r="E53" s="6" t="s">
        <v>140</v>
      </c>
    </row>
    <row r="54" spans="1:5" ht="12.75" customHeight="1" x14ac:dyDescent="0.35">
      <c r="A54" s="6" t="s">
        <v>141</v>
      </c>
      <c r="B54" s="6" t="s">
        <v>36</v>
      </c>
      <c r="C54" s="6" t="s">
        <v>37</v>
      </c>
      <c r="E54" s="6" t="s">
        <v>142</v>
      </c>
    </row>
    <row r="55" spans="1:5" ht="12.75" customHeight="1" x14ac:dyDescent="0.35">
      <c r="A55" s="6" t="s">
        <v>143</v>
      </c>
      <c r="B55" s="6" t="s">
        <v>52</v>
      </c>
      <c r="C55" s="6" t="s">
        <v>37</v>
      </c>
      <c r="D55" s="6" t="s">
        <v>144</v>
      </c>
      <c r="E55" s="6" t="s">
        <v>145</v>
      </c>
    </row>
    <row r="56" spans="1:5" ht="12.75" customHeight="1" x14ac:dyDescent="0.35">
      <c r="A56" s="6" t="s">
        <v>146</v>
      </c>
      <c r="B56" s="6" t="s">
        <v>52</v>
      </c>
      <c r="C56" s="6" t="s">
        <v>37</v>
      </c>
      <c r="E56" s="6" t="s">
        <v>147</v>
      </c>
    </row>
    <row r="57" spans="1:5" ht="12.75" customHeight="1" x14ac:dyDescent="0.35">
      <c r="A57" s="6" t="s">
        <v>148</v>
      </c>
      <c r="B57" s="6" t="s">
        <v>52</v>
      </c>
      <c r="C57" s="6" t="s">
        <v>37</v>
      </c>
      <c r="E57" s="6" t="s">
        <v>149</v>
      </c>
    </row>
    <row r="58" spans="1:5" ht="12.75" customHeight="1" x14ac:dyDescent="0.35">
      <c r="A58" s="6" t="s">
        <v>150</v>
      </c>
      <c r="B58" s="6" t="s">
        <v>61</v>
      </c>
      <c r="C58" s="6" t="s">
        <v>50</v>
      </c>
      <c r="E58" s="6" t="s">
        <v>151</v>
      </c>
    </row>
    <row r="59" spans="1:5" ht="12.75" customHeight="1" x14ac:dyDescent="0.35">
      <c r="A59" s="6" t="s">
        <v>152</v>
      </c>
      <c r="B59" s="6" t="s">
        <v>36</v>
      </c>
      <c r="C59" s="6" t="s">
        <v>53</v>
      </c>
      <c r="E59" s="6" t="s">
        <v>153</v>
      </c>
    </row>
    <row r="60" spans="1:5" ht="12.75" customHeight="1" x14ac:dyDescent="0.35">
      <c r="A60" s="6" t="s">
        <v>154</v>
      </c>
      <c r="B60" s="6" t="s">
        <v>52</v>
      </c>
      <c r="C60" s="6" t="s">
        <v>37</v>
      </c>
      <c r="E60" s="6" t="s">
        <v>155</v>
      </c>
    </row>
    <row r="61" spans="1:5" ht="12.75" customHeight="1" x14ac:dyDescent="0.35">
      <c r="A61" s="6" t="s">
        <v>156</v>
      </c>
      <c r="B61" s="6" t="s">
        <v>36</v>
      </c>
      <c r="C61" s="6" t="s">
        <v>53</v>
      </c>
      <c r="E61" s="6" t="s">
        <v>157</v>
      </c>
    </row>
    <row r="62" spans="1:5" ht="12.75" customHeight="1" x14ac:dyDescent="0.35">
      <c r="A62" s="6" t="s">
        <v>158</v>
      </c>
      <c r="B62" s="6" t="s">
        <v>61</v>
      </c>
      <c r="C62" s="6" t="s">
        <v>50</v>
      </c>
      <c r="E62" s="6" t="s">
        <v>159</v>
      </c>
    </row>
    <row r="63" spans="1:5" ht="12.75" customHeight="1" x14ac:dyDescent="0.35">
      <c r="A63" s="6" t="s">
        <v>160</v>
      </c>
      <c r="E63" s="6" t="s">
        <v>161</v>
      </c>
    </row>
    <row r="64" spans="1:5" ht="12.75" customHeight="1" x14ac:dyDescent="0.35">
      <c r="A64" s="6" t="s">
        <v>162</v>
      </c>
      <c r="D64" s="6" t="s">
        <v>163</v>
      </c>
      <c r="E64" s="6" t="s">
        <v>164</v>
      </c>
    </row>
    <row r="65" spans="1:5" ht="12.75" customHeight="1" x14ac:dyDescent="0.35">
      <c r="A65" s="6" t="s">
        <v>165</v>
      </c>
      <c r="D65" s="6" t="s">
        <v>166</v>
      </c>
      <c r="E65" s="6" t="s">
        <v>66</v>
      </c>
    </row>
    <row r="66" spans="1:5" ht="12.75" customHeight="1" x14ac:dyDescent="0.35">
      <c r="A66" s="6" t="s">
        <v>167</v>
      </c>
      <c r="E66" s="6" t="s">
        <v>168</v>
      </c>
    </row>
    <row r="67" spans="1:5" ht="12.75" customHeight="1" x14ac:dyDescent="0.35">
      <c r="A67" s="6" t="s">
        <v>169</v>
      </c>
      <c r="D67" s="6" t="s">
        <v>170</v>
      </c>
      <c r="E67" s="6" t="s">
        <v>52</v>
      </c>
    </row>
    <row r="68" spans="1:5" ht="12.75" customHeight="1" x14ac:dyDescent="0.35">
      <c r="A68" s="6" t="s">
        <v>171</v>
      </c>
      <c r="B68" s="6" t="s">
        <v>36</v>
      </c>
      <c r="C68" s="6" t="s">
        <v>53</v>
      </c>
      <c r="E68" s="6" t="s">
        <v>172</v>
      </c>
    </row>
    <row r="69" spans="1:5" ht="12.75" customHeight="1" x14ac:dyDescent="0.35">
      <c r="A69" s="6" t="s">
        <v>173</v>
      </c>
      <c r="B69" s="6" t="s">
        <v>61</v>
      </c>
      <c r="C69" s="6" t="s">
        <v>50</v>
      </c>
      <c r="D69" s="6" t="s">
        <v>174</v>
      </c>
      <c r="E69" s="6" t="s">
        <v>175</v>
      </c>
    </row>
    <row r="70" spans="1:5" ht="12.75" customHeight="1" x14ac:dyDescent="0.35">
      <c r="A70" s="6" t="s">
        <v>176</v>
      </c>
      <c r="D70" s="6" t="s">
        <v>177</v>
      </c>
      <c r="E70" s="6" t="s">
        <v>178</v>
      </c>
    </row>
    <row r="71" spans="1:5" ht="12.75" customHeight="1" x14ac:dyDescent="0.35">
      <c r="A71" s="6" t="s">
        <v>179</v>
      </c>
      <c r="B71" s="6" t="s">
        <v>49</v>
      </c>
      <c r="C71" s="6" t="s">
        <v>43</v>
      </c>
      <c r="E71" s="6" t="s">
        <v>180</v>
      </c>
    </row>
    <row r="72" spans="1:5" ht="12.75" customHeight="1" x14ac:dyDescent="0.35">
      <c r="A72" s="6" t="s">
        <v>181</v>
      </c>
      <c r="B72" s="6" t="s">
        <v>52</v>
      </c>
      <c r="C72" s="6" t="s">
        <v>37</v>
      </c>
      <c r="D72" s="6" t="s">
        <v>182</v>
      </c>
      <c r="E72" s="6" t="s">
        <v>183</v>
      </c>
    </row>
    <row r="73" spans="1:5" ht="12.75" customHeight="1" x14ac:dyDescent="0.35">
      <c r="A73" s="6" t="s">
        <v>184</v>
      </c>
      <c r="B73" s="6" t="s">
        <v>52</v>
      </c>
      <c r="C73" s="6" t="s">
        <v>37</v>
      </c>
      <c r="D73" s="6" t="s">
        <v>185</v>
      </c>
      <c r="E73" s="6" t="s">
        <v>186</v>
      </c>
    </row>
    <row r="74" spans="1:5" ht="12.75" customHeight="1" x14ac:dyDescent="0.35">
      <c r="A74" s="6" t="s">
        <v>187</v>
      </c>
      <c r="B74" s="6" t="s">
        <v>49</v>
      </c>
      <c r="C74" s="6" t="s">
        <v>43</v>
      </c>
      <c r="D74" s="6" t="s">
        <v>188</v>
      </c>
      <c r="E74" s="6" t="s">
        <v>189</v>
      </c>
    </row>
    <row r="75" spans="1:5" ht="12.75" customHeight="1" x14ac:dyDescent="0.35">
      <c r="A75" s="6" t="s">
        <v>190</v>
      </c>
      <c r="D75" s="6" t="s">
        <v>191</v>
      </c>
      <c r="E75" s="6" t="s">
        <v>192</v>
      </c>
    </row>
    <row r="76" spans="1:5" ht="12.75" customHeight="1" x14ac:dyDescent="0.35">
      <c r="A76" s="6" t="s">
        <v>193</v>
      </c>
      <c r="D76" s="9" t="s">
        <v>194</v>
      </c>
      <c r="E76" s="6" t="s">
        <v>195</v>
      </c>
    </row>
    <row r="77" spans="1:5" ht="12.75" customHeight="1" x14ac:dyDescent="0.35">
      <c r="A77" s="6" t="s">
        <v>196</v>
      </c>
      <c r="B77" s="6" t="s">
        <v>52</v>
      </c>
      <c r="C77" s="6" t="s">
        <v>37</v>
      </c>
      <c r="D77" s="6" t="s">
        <v>197</v>
      </c>
      <c r="E77" s="6" t="s">
        <v>198</v>
      </c>
    </row>
    <row r="78" spans="1:5" ht="12.75" customHeight="1" x14ac:dyDescent="0.35">
      <c r="A78" s="6" t="s">
        <v>199</v>
      </c>
      <c r="B78" s="6" t="s">
        <v>66</v>
      </c>
      <c r="C78" s="6" t="s">
        <v>53</v>
      </c>
      <c r="E78" s="6" t="s">
        <v>200</v>
      </c>
    </row>
    <row r="79" spans="1:5" ht="12.75" customHeight="1" x14ac:dyDescent="0.35">
      <c r="A79" s="6" t="s">
        <v>201</v>
      </c>
      <c r="B79" s="6" t="s">
        <v>52</v>
      </c>
      <c r="C79" s="6" t="s">
        <v>37</v>
      </c>
      <c r="D79" s="6" t="s">
        <v>202</v>
      </c>
      <c r="E79" s="6" t="s">
        <v>203</v>
      </c>
    </row>
    <row r="80" spans="1:5" ht="12.75" customHeight="1" x14ac:dyDescent="0.35">
      <c r="A80" s="6" t="s">
        <v>204</v>
      </c>
      <c r="B80" s="6" t="s">
        <v>52</v>
      </c>
      <c r="C80" s="6" t="s">
        <v>37</v>
      </c>
      <c r="E80" s="6" t="s">
        <v>205</v>
      </c>
    </row>
    <row r="81" spans="1:5" ht="12.75" customHeight="1" x14ac:dyDescent="0.35">
      <c r="A81" s="6" t="s">
        <v>206</v>
      </c>
      <c r="B81" s="6" t="s">
        <v>66</v>
      </c>
      <c r="C81" s="6" t="s">
        <v>50</v>
      </c>
      <c r="D81" s="6" t="s">
        <v>207</v>
      </c>
      <c r="E81" s="6" t="s">
        <v>208</v>
      </c>
    </row>
    <row r="82" spans="1:5" ht="12.75" customHeight="1" x14ac:dyDescent="0.35">
      <c r="A82" s="6" t="s">
        <v>209</v>
      </c>
      <c r="B82" s="6" t="s">
        <v>49</v>
      </c>
      <c r="C82" s="6" t="s">
        <v>53</v>
      </c>
      <c r="E82" s="6" t="s">
        <v>210</v>
      </c>
    </row>
    <row r="83" spans="1:5" ht="12.75" customHeight="1" x14ac:dyDescent="0.35">
      <c r="A83" s="6" t="s">
        <v>211</v>
      </c>
      <c r="B83" s="6" t="s">
        <v>52</v>
      </c>
      <c r="C83" s="6" t="s">
        <v>37</v>
      </c>
      <c r="E83" s="6" t="s">
        <v>212</v>
      </c>
    </row>
    <row r="84" spans="1:5" ht="12.75" customHeight="1" x14ac:dyDescent="0.35">
      <c r="A84" s="6" t="s">
        <v>213</v>
      </c>
      <c r="B84" s="6" t="s">
        <v>52</v>
      </c>
      <c r="C84" s="6" t="s">
        <v>53</v>
      </c>
      <c r="D84" s="6" t="s">
        <v>214</v>
      </c>
      <c r="E84" s="6" t="s">
        <v>215</v>
      </c>
    </row>
    <row r="85" spans="1:5" ht="12.75" customHeight="1" x14ac:dyDescent="0.35">
      <c r="A85" s="6" t="s">
        <v>216</v>
      </c>
      <c r="B85" s="6" t="s">
        <v>49</v>
      </c>
      <c r="C85" s="6" t="s">
        <v>50</v>
      </c>
      <c r="E85" s="6" t="s">
        <v>217</v>
      </c>
    </row>
    <row r="86" spans="1:5" ht="12.75" customHeight="1" x14ac:dyDescent="0.35">
      <c r="A86" s="6" t="s">
        <v>218</v>
      </c>
      <c r="B86" s="6" t="s">
        <v>52</v>
      </c>
      <c r="C86" s="6" t="s">
        <v>37</v>
      </c>
      <c r="E86" s="6" t="s">
        <v>219</v>
      </c>
    </row>
    <row r="87" spans="1:5" ht="12.75" customHeight="1" x14ac:dyDescent="0.35">
      <c r="A87" s="6" t="s">
        <v>220</v>
      </c>
      <c r="B87" s="6" t="s">
        <v>49</v>
      </c>
      <c r="C87" s="6" t="s">
        <v>43</v>
      </c>
      <c r="E87" s="6" t="s">
        <v>221</v>
      </c>
    </row>
    <row r="88" spans="1:5" ht="12.75" customHeight="1" x14ac:dyDescent="0.35">
      <c r="A88" s="6" t="s">
        <v>222</v>
      </c>
      <c r="B88" s="6" t="s">
        <v>49</v>
      </c>
      <c r="C88" s="6" t="s">
        <v>43</v>
      </c>
      <c r="E88" s="6" t="s">
        <v>223</v>
      </c>
    </row>
    <row r="89" spans="1:5" ht="12.75" customHeight="1" x14ac:dyDescent="0.35">
      <c r="A89" s="6" t="s">
        <v>224</v>
      </c>
      <c r="B89" s="6" t="s">
        <v>49</v>
      </c>
      <c r="C89" s="6" t="s">
        <v>43</v>
      </c>
      <c r="E89" s="6" t="s">
        <v>225</v>
      </c>
    </row>
    <row r="90" spans="1:5" ht="12.75" customHeight="1" x14ac:dyDescent="0.35">
      <c r="A90" s="6" t="s">
        <v>226</v>
      </c>
      <c r="B90" s="6" t="s">
        <v>49</v>
      </c>
      <c r="C90" s="6" t="s">
        <v>53</v>
      </c>
      <c r="E90" s="6" t="s">
        <v>227</v>
      </c>
    </row>
    <row r="91" spans="1:5" ht="12.75" customHeight="1" x14ac:dyDescent="0.35">
      <c r="A91" s="6" t="s">
        <v>228</v>
      </c>
      <c r="B91" s="6" t="s">
        <v>52</v>
      </c>
      <c r="C91" s="6" t="s">
        <v>37</v>
      </c>
      <c r="D91" s="6" t="s">
        <v>229</v>
      </c>
      <c r="E91" s="6" t="s">
        <v>230</v>
      </c>
    </row>
    <row r="92" spans="1:5" ht="12.75" customHeight="1" x14ac:dyDescent="0.35">
      <c r="A92" s="6" t="s">
        <v>231</v>
      </c>
      <c r="B92" s="6" t="s">
        <v>36</v>
      </c>
      <c r="C92" s="6" t="s">
        <v>53</v>
      </c>
      <c r="E92" s="6" t="s">
        <v>232</v>
      </c>
    </row>
    <row r="93" spans="1:5" ht="12.75" customHeight="1" x14ac:dyDescent="0.35">
      <c r="A93" s="6" t="s">
        <v>233</v>
      </c>
      <c r="B93" s="6" t="s">
        <v>52</v>
      </c>
      <c r="C93" s="6" t="s">
        <v>37</v>
      </c>
      <c r="E93" s="6" t="s">
        <v>234</v>
      </c>
    </row>
    <row r="94" spans="1:5" ht="12.75" customHeight="1" x14ac:dyDescent="0.35">
      <c r="A94" s="6" t="s">
        <v>235</v>
      </c>
      <c r="B94" s="6" t="s">
        <v>36</v>
      </c>
      <c r="C94" s="6" t="s">
        <v>53</v>
      </c>
      <c r="E94" s="6" t="s">
        <v>236</v>
      </c>
    </row>
    <row r="95" spans="1:5" ht="12.75" customHeight="1" x14ac:dyDescent="0.35">
      <c r="A95" s="6" t="s">
        <v>237</v>
      </c>
      <c r="B95" s="6" t="s">
        <v>66</v>
      </c>
      <c r="C95" s="6" t="s">
        <v>37</v>
      </c>
      <c r="E95" s="6" t="s">
        <v>238</v>
      </c>
    </row>
    <row r="96" spans="1:5" ht="12.75" customHeight="1" x14ac:dyDescent="0.35">
      <c r="A96" s="6" t="s">
        <v>239</v>
      </c>
      <c r="B96" s="6" t="s">
        <v>36</v>
      </c>
      <c r="C96" s="6" t="s">
        <v>53</v>
      </c>
      <c r="E96" s="6" t="s">
        <v>240</v>
      </c>
    </row>
    <row r="97" spans="1:5" ht="12.75" customHeight="1" x14ac:dyDescent="0.35">
      <c r="A97" s="6" t="s">
        <v>241</v>
      </c>
      <c r="D97" s="6" t="s">
        <v>242</v>
      </c>
      <c r="E97" s="6" t="s">
        <v>37</v>
      </c>
    </row>
    <row r="98" spans="1:5" ht="12.75" customHeight="1" x14ac:dyDescent="0.35">
      <c r="A98" s="6" t="s">
        <v>243</v>
      </c>
      <c r="B98" s="6" t="s">
        <v>66</v>
      </c>
      <c r="C98" s="6" t="s">
        <v>37</v>
      </c>
      <c r="D98" s="6" t="s">
        <v>244</v>
      </c>
      <c r="E98" s="6" t="s">
        <v>245</v>
      </c>
    </row>
    <row r="99" spans="1:5" ht="12.75" customHeight="1" x14ac:dyDescent="0.35">
      <c r="A99" s="6" t="s">
        <v>246</v>
      </c>
      <c r="B99" s="6" t="s">
        <v>36</v>
      </c>
      <c r="C99" s="6" t="s">
        <v>50</v>
      </c>
      <c r="E99" s="6" t="s">
        <v>247</v>
      </c>
    </row>
    <row r="100" spans="1:5" ht="12.75" customHeight="1" x14ac:dyDescent="0.35">
      <c r="A100" s="6" t="s">
        <v>248</v>
      </c>
      <c r="D100" s="6" t="s">
        <v>249</v>
      </c>
      <c r="E100" s="6" t="s">
        <v>250</v>
      </c>
    </row>
    <row r="101" spans="1:5" ht="12.75" customHeight="1" x14ac:dyDescent="0.35">
      <c r="A101" s="6" t="s">
        <v>251</v>
      </c>
      <c r="B101" s="6" t="s">
        <v>52</v>
      </c>
      <c r="C101" s="6" t="s">
        <v>37</v>
      </c>
      <c r="E101" s="6" t="s">
        <v>252</v>
      </c>
    </row>
    <row r="102" spans="1:5" ht="12.75" customHeight="1" x14ac:dyDescent="0.35">
      <c r="A102" s="6" t="s">
        <v>253</v>
      </c>
      <c r="B102" s="6" t="s">
        <v>36</v>
      </c>
      <c r="C102" s="6" t="s">
        <v>50</v>
      </c>
      <c r="D102" s="6" t="s">
        <v>254</v>
      </c>
      <c r="E102" s="6" t="s">
        <v>255</v>
      </c>
    </row>
    <row r="103" spans="1:5" ht="12.75" customHeight="1" x14ac:dyDescent="0.35">
      <c r="A103" s="6" t="s">
        <v>256</v>
      </c>
      <c r="B103" s="6" t="s">
        <v>52</v>
      </c>
      <c r="C103" s="6" t="s">
        <v>37</v>
      </c>
      <c r="E103" s="6" t="s">
        <v>257</v>
      </c>
    </row>
    <row r="104" spans="1:5" ht="12.75" customHeight="1" x14ac:dyDescent="0.35">
      <c r="A104" s="6" t="s">
        <v>258</v>
      </c>
      <c r="D104" s="6" t="s">
        <v>259</v>
      </c>
      <c r="E104" s="6" t="s">
        <v>260</v>
      </c>
    </row>
    <row r="105" spans="1:5" ht="12.75" customHeight="1" x14ac:dyDescent="0.35">
      <c r="A105" s="6" t="s">
        <v>261</v>
      </c>
      <c r="D105" s="6" t="s">
        <v>262</v>
      </c>
      <c r="E105" s="6" t="s">
        <v>263</v>
      </c>
    </row>
    <row r="106" spans="1:5" ht="12.75" customHeight="1" x14ac:dyDescent="0.35">
      <c r="A106" s="6" t="s">
        <v>264</v>
      </c>
      <c r="D106" s="6" t="s">
        <v>265</v>
      </c>
      <c r="E106" s="6" t="s">
        <v>266</v>
      </c>
    </row>
    <row r="107" spans="1:5" ht="12.75" customHeight="1" x14ac:dyDescent="0.35">
      <c r="A107" s="6" t="s">
        <v>267</v>
      </c>
      <c r="D107" s="6" t="s">
        <v>268</v>
      </c>
      <c r="E107" s="6" t="s">
        <v>269</v>
      </c>
    </row>
    <row r="108" spans="1:5" ht="12.75" customHeight="1" x14ac:dyDescent="0.35">
      <c r="A108" s="6" t="s">
        <v>270</v>
      </c>
      <c r="B108" s="6" t="s">
        <v>66</v>
      </c>
      <c r="C108" s="6" t="s">
        <v>50</v>
      </c>
      <c r="D108" s="6" t="s">
        <v>271</v>
      </c>
      <c r="E108" s="6" t="s">
        <v>272</v>
      </c>
    </row>
    <row r="109" spans="1:5" ht="12.75" customHeight="1" x14ac:dyDescent="0.35">
      <c r="A109" s="6" t="s">
        <v>273</v>
      </c>
      <c r="D109" s="6" t="s">
        <v>274</v>
      </c>
      <c r="E109" s="6" t="s">
        <v>275</v>
      </c>
    </row>
    <row r="110" spans="1:5" ht="12.75" customHeight="1" x14ac:dyDescent="0.35">
      <c r="A110" s="6" t="s">
        <v>276</v>
      </c>
      <c r="B110" s="6" t="s">
        <v>52</v>
      </c>
      <c r="C110" s="6" t="s">
        <v>37</v>
      </c>
      <c r="D110" s="6" t="s">
        <v>277</v>
      </c>
      <c r="E110" s="6" t="s">
        <v>278</v>
      </c>
    </row>
    <row r="111" spans="1:5" ht="12.75" customHeight="1" x14ac:dyDescent="0.35">
      <c r="A111" s="6" t="s">
        <v>279</v>
      </c>
      <c r="B111" s="6" t="s">
        <v>42</v>
      </c>
      <c r="C111" s="6" t="s">
        <v>50</v>
      </c>
      <c r="D111" s="6" t="s">
        <v>280</v>
      </c>
      <c r="E111" s="6" t="s">
        <v>281</v>
      </c>
    </row>
    <row r="112" spans="1:5" ht="12.75" customHeight="1" x14ac:dyDescent="0.35">
      <c r="A112" s="6" t="s">
        <v>282</v>
      </c>
      <c r="B112" s="6" t="s">
        <v>52</v>
      </c>
      <c r="C112" s="6" t="s">
        <v>37</v>
      </c>
      <c r="D112" s="6" t="s">
        <v>283</v>
      </c>
      <c r="E112" s="6" t="s">
        <v>284</v>
      </c>
    </row>
    <row r="113" spans="1:5" ht="12.75" customHeight="1" x14ac:dyDescent="0.35">
      <c r="A113" s="6" t="s">
        <v>285</v>
      </c>
      <c r="B113" s="6" t="s">
        <v>61</v>
      </c>
      <c r="C113" s="6" t="s">
        <v>50</v>
      </c>
      <c r="D113" s="6" t="s">
        <v>44</v>
      </c>
      <c r="E113" s="6" t="s">
        <v>286</v>
      </c>
    </row>
    <row r="114" spans="1:5" ht="12.75" customHeight="1" x14ac:dyDescent="0.35">
      <c r="A114" s="6" t="s">
        <v>287</v>
      </c>
      <c r="B114" s="6" t="s">
        <v>61</v>
      </c>
      <c r="C114" s="6" t="s">
        <v>53</v>
      </c>
      <c r="E114" s="6" t="s">
        <v>288</v>
      </c>
    </row>
    <row r="115" spans="1:5" ht="12.75" customHeight="1" x14ac:dyDescent="0.35">
      <c r="A115" s="6" t="s">
        <v>289</v>
      </c>
      <c r="B115" s="6" t="s">
        <v>52</v>
      </c>
      <c r="C115" s="6" t="s">
        <v>37</v>
      </c>
      <c r="E115" s="6" t="s">
        <v>290</v>
      </c>
    </row>
    <row r="116" spans="1:5" ht="12.75" customHeight="1" x14ac:dyDescent="0.35">
      <c r="A116" s="6" t="s">
        <v>291</v>
      </c>
      <c r="B116" s="6" t="s">
        <v>61</v>
      </c>
      <c r="C116" s="6" t="s">
        <v>37</v>
      </c>
      <c r="E116" s="6" t="s">
        <v>292</v>
      </c>
    </row>
    <row r="117" spans="1:5" ht="12.75" customHeight="1" x14ac:dyDescent="0.35">
      <c r="A117" s="6" t="s">
        <v>293</v>
      </c>
      <c r="B117" s="6" t="s">
        <v>52</v>
      </c>
      <c r="C117" s="6" t="s">
        <v>37</v>
      </c>
      <c r="D117" s="6" t="s">
        <v>294</v>
      </c>
      <c r="E117" s="6" t="s">
        <v>295</v>
      </c>
    </row>
    <row r="118" spans="1:5" ht="12.75" customHeight="1" x14ac:dyDescent="0.35">
      <c r="A118" s="6" t="s">
        <v>296</v>
      </c>
      <c r="B118" s="6" t="s">
        <v>36</v>
      </c>
      <c r="C118" s="6" t="s">
        <v>53</v>
      </c>
      <c r="E118" s="6" t="s">
        <v>297</v>
      </c>
    </row>
    <row r="119" spans="1:5" ht="12.75" customHeight="1" x14ac:dyDescent="0.35">
      <c r="A119" s="6" t="s">
        <v>298</v>
      </c>
      <c r="B119" s="6" t="s">
        <v>61</v>
      </c>
      <c r="C119" s="6" t="s">
        <v>53</v>
      </c>
      <c r="E119" s="6" t="s">
        <v>299</v>
      </c>
    </row>
    <row r="120" spans="1:5" ht="12.75" customHeight="1" x14ac:dyDescent="0.35">
      <c r="A120" s="6" t="s">
        <v>300</v>
      </c>
      <c r="B120" s="6" t="s">
        <v>66</v>
      </c>
      <c r="C120" s="6" t="s">
        <v>37</v>
      </c>
      <c r="D120" s="6" t="s">
        <v>106</v>
      </c>
      <c r="E120" s="6" t="s">
        <v>301</v>
      </c>
    </row>
    <row r="121" spans="1:5" ht="12.75" customHeight="1" x14ac:dyDescent="0.35">
      <c r="A121" s="6" t="s">
        <v>302</v>
      </c>
      <c r="B121" s="6" t="s">
        <v>52</v>
      </c>
      <c r="C121" s="6" t="s">
        <v>53</v>
      </c>
      <c r="E121" s="6" t="s">
        <v>303</v>
      </c>
    </row>
    <row r="122" spans="1:5" ht="12.75" customHeight="1" x14ac:dyDescent="0.35">
      <c r="A122" s="6" t="s">
        <v>304</v>
      </c>
      <c r="B122" s="6" t="s">
        <v>49</v>
      </c>
      <c r="C122" s="6" t="s">
        <v>50</v>
      </c>
      <c r="D122" s="6" t="s">
        <v>305</v>
      </c>
      <c r="E122" s="6" t="s">
        <v>306</v>
      </c>
    </row>
    <row r="123" spans="1:5" ht="12.75" customHeight="1" x14ac:dyDescent="0.35">
      <c r="A123" s="6" t="s">
        <v>307</v>
      </c>
      <c r="B123" s="6" t="s">
        <v>52</v>
      </c>
      <c r="C123" s="6" t="s">
        <v>50</v>
      </c>
      <c r="E123" s="6" t="s">
        <v>308</v>
      </c>
    </row>
    <row r="124" spans="1:5" ht="12.75" customHeight="1" x14ac:dyDescent="0.35">
      <c r="A124" s="6" t="s">
        <v>309</v>
      </c>
      <c r="B124" s="6" t="s">
        <v>66</v>
      </c>
      <c r="C124" s="6" t="s">
        <v>50</v>
      </c>
      <c r="E124" s="6" t="s">
        <v>310</v>
      </c>
    </row>
    <row r="125" spans="1:5" ht="12.75" customHeight="1" x14ac:dyDescent="0.35">
      <c r="A125" s="6" t="s">
        <v>311</v>
      </c>
      <c r="B125" s="6" t="s">
        <v>66</v>
      </c>
      <c r="C125" s="6" t="s">
        <v>50</v>
      </c>
      <c r="E125" s="6" t="s">
        <v>312</v>
      </c>
    </row>
    <row r="126" spans="1:5" ht="12.75" customHeight="1" x14ac:dyDescent="0.35">
      <c r="A126" s="6" t="s">
        <v>313</v>
      </c>
      <c r="B126" s="6" t="s">
        <v>36</v>
      </c>
      <c r="C126" s="6" t="s">
        <v>37</v>
      </c>
      <c r="E126" s="6" t="s">
        <v>314</v>
      </c>
    </row>
    <row r="127" spans="1:5" ht="12.75" customHeight="1" x14ac:dyDescent="0.35">
      <c r="A127" s="6" t="s">
        <v>315</v>
      </c>
      <c r="B127" s="6" t="s">
        <v>66</v>
      </c>
      <c r="C127" s="6" t="s">
        <v>37</v>
      </c>
      <c r="E127" s="6" t="s">
        <v>316</v>
      </c>
    </row>
    <row r="128" spans="1:5" ht="12.75" customHeight="1" x14ac:dyDescent="0.35">
      <c r="A128" s="6" t="s">
        <v>317</v>
      </c>
      <c r="B128" s="6" t="s">
        <v>61</v>
      </c>
      <c r="C128" s="6" t="s">
        <v>37</v>
      </c>
      <c r="E128" s="6" t="s">
        <v>318</v>
      </c>
    </row>
    <row r="129" spans="1:5" ht="12.75" customHeight="1" x14ac:dyDescent="0.35">
      <c r="A129" s="6" t="s">
        <v>319</v>
      </c>
      <c r="E129" s="6" t="s">
        <v>320</v>
      </c>
    </row>
    <row r="130" spans="1:5" ht="12.75" customHeight="1" x14ac:dyDescent="0.35">
      <c r="A130" s="6" t="s">
        <v>321</v>
      </c>
      <c r="B130" s="6" t="s">
        <v>66</v>
      </c>
      <c r="C130" s="6" t="s">
        <v>50</v>
      </c>
      <c r="E130" s="6" t="s">
        <v>322</v>
      </c>
    </row>
    <row r="131" spans="1:5" ht="12.75" customHeight="1" x14ac:dyDescent="0.35">
      <c r="A131" s="6" t="s">
        <v>323</v>
      </c>
      <c r="B131" s="6" t="s">
        <v>61</v>
      </c>
      <c r="C131" s="6" t="s">
        <v>53</v>
      </c>
      <c r="E131" s="6" t="s">
        <v>324</v>
      </c>
    </row>
    <row r="132" spans="1:5" ht="12.75" customHeight="1" x14ac:dyDescent="0.35">
      <c r="A132" s="6" t="s">
        <v>325</v>
      </c>
      <c r="B132" s="6" t="s">
        <v>49</v>
      </c>
      <c r="C132" s="6" t="s">
        <v>43</v>
      </c>
      <c r="E132" s="6" t="s">
        <v>326</v>
      </c>
    </row>
    <row r="133" spans="1:5" ht="12.75" customHeight="1" x14ac:dyDescent="0.35">
      <c r="A133" s="6" t="s">
        <v>327</v>
      </c>
      <c r="B133" s="6" t="s">
        <v>61</v>
      </c>
      <c r="C133" s="6" t="s">
        <v>53</v>
      </c>
      <c r="E133" s="6" t="s">
        <v>328</v>
      </c>
    </row>
    <row r="134" spans="1:5" ht="12.75" customHeight="1" x14ac:dyDescent="0.35">
      <c r="A134" s="6" t="s">
        <v>329</v>
      </c>
      <c r="B134" s="6" t="s">
        <v>36</v>
      </c>
      <c r="C134" s="6" t="s">
        <v>53</v>
      </c>
      <c r="E134" s="6" t="s">
        <v>330</v>
      </c>
    </row>
    <row r="135" spans="1:5" ht="12.75" customHeight="1" x14ac:dyDescent="0.35">
      <c r="A135" s="6" t="s">
        <v>331</v>
      </c>
      <c r="E135" s="6" t="s">
        <v>36</v>
      </c>
    </row>
    <row r="136" spans="1:5" ht="12.75" customHeight="1" x14ac:dyDescent="0.35">
      <c r="A136" s="6" t="s">
        <v>332</v>
      </c>
      <c r="E136" s="6" t="s">
        <v>333</v>
      </c>
    </row>
    <row r="137" spans="1:5" ht="12.75" customHeight="1" x14ac:dyDescent="0.35">
      <c r="A137" s="6" t="s">
        <v>334</v>
      </c>
      <c r="D137" s="6" t="s">
        <v>335</v>
      </c>
      <c r="E137" s="6" t="s">
        <v>43</v>
      </c>
    </row>
    <row r="138" spans="1:5" ht="12.75" customHeight="1" x14ac:dyDescent="0.35">
      <c r="A138" s="6" t="s">
        <v>336</v>
      </c>
      <c r="B138" s="6" t="s">
        <v>52</v>
      </c>
      <c r="C138" s="6" t="s">
        <v>37</v>
      </c>
      <c r="E138" s="6" t="s">
        <v>337</v>
      </c>
    </row>
    <row r="139" spans="1:5" ht="12.75" customHeight="1" x14ac:dyDescent="0.35">
      <c r="A139" s="6" t="s">
        <v>338</v>
      </c>
      <c r="B139" s="6" t="s">
        <v>42</v>
      </c>
      <c r="C139" s="6" t="s">
        <v>50</v>
      </c>
      <c r="E139" s="6" t="s">
        <v>339</v>
      </c>
    </row>
    <row r="140" spans="1:5" ht="12.75" customHeight="1" x14ac:dyDescent="0.35">
      <c r="A140" s="6" t="s">
        <v>340</v>
      </c>
      <c r="D140" s="6" t="s">
        <v>341</v>
      </c>
      <c r="E140" s="6" t="s">
        <v>50</v>
      </c>
    </row>
    <row r="141" spans="1:5" ht="12.75" customHeight="1" x14ac:dyDescent="0.35">
      <c r="A141" s="6" t="s">
        <v>342</v>
      </c>
      <c r="E141" s="6" t="s">
        <v>343</v>
      </c>
    </row>
    <row r="142" spans="1:5" ht="12.75" customHeight="1" x14ac:dyDescent="0.35">
      <c r="A142" s="6" t="s">
        <v>344</v>
      </c>
      <c r="B142" s="6" t="s">
        <v>49</v>
      </c>
      <c r="C142" s="6" t="s">
        <v>50</v>
      </c>
      <c r="D142" s="6" t="s">
        <v>106</v>
      </c>
      <c r="E142" s="6" t="s">
        <v>345</v>
      </c>
    </row>
    <row r="143" spans="1:5" ht="12.75" customHeight="1" x14ac:dyDescent="0.35">
      <c r="A143" s="6" t="s">
        <v>346</v>
      </c>
      <c r="E143" s="6" t="s">
        <v>347</v>
      </c>
    </row>
    <row r="144" spans="1:5" ht="12.75" customHeight="1" x14ac:dyDescent="0.35">
      <c r="A144" s="6" t="s">
        <v>348</v>
      </c>
      <c r="B144" s="6" t="s">
        <v>52</v>
      </c>
      <c r="C144" s="6" t="s">
        <v>37</v>
      </c>
      <c r="D144" s="6" t="s">
        <v>349</v>
      </c>
      <c r="E144" s="6" t="s">
        <v>350</v>
      </c>
    </row>
    <row r="145" spans="1:5" ht="12.75" customHeight="1" x14ac:dyDescent="0.35">
      <c r="A145" s="6" t="s">
        <v>351</v>
      </c>
      <c r="B145" s="6" t="s">
        <v>52</v>
      </c>
      <c r="C145" s="6" t="s">
        <v>37</v>
      </c>
      <c r="D145" s="6" t="s">
        <v>352</v>
      </c>
      <c r="E145" s="6" t="s">
        <v>353</v>
      </c>
    </row>
    <row r="146" spans="1:5" ht="12.75" customHeight="1" x14ac:dyDescent="0.35">
      <c r="A146" s="6" t="s">
        <v>354</v>
      </c>
      <c r="B146" s="6" t="s">
        <v>52</v>
      </c>
      <c r="C146" s="6" t="s">
        <v>37</v>
      </c>
      <c r="D146" s="6" t="s">
        <v>355</v>
      </c>
      <c r="E146" s="6" t="s">
        <v>356</v>
      </c>
    </row>
    <row r="147" spans="1:5" ht="12.75" customHeight="1" x14ac:dyDescent="0.35">
      <c r="A147" s="6" t="s">
        <v>357</v>
      </c>
      <c r="B147" s="6" t="s">
        <v>66</v>
      </c>
      <c r="C147" s="6" t="s">
        <v>37</v>
      </c>
      <c r="D147" s="6" t="s">
        <v>358</v>
      </c>
      <c r="E147" s="6" t="s">
        <v>359</v>
      </c>
    </row>
    <row r="148" spans="1:5" ht="12.75" customHeight="1" x14ac:dyDescent="0.35">
      <c r="A148" s="6" t="s">
        <v>360</v>
      </c>
      <c r="B148" s="6" t="s">
        <v>36</v>
      </c>
      <c r="C148" s="6" t="s">
        <v>37</v>
      </c>
      <c r="E148" s="6" t="s">
        <v>361</v>
      </c>
    </row>
    <row r="149" spans="1:5" ht="12.75" customHeight="1" x14ac:dyDescent="0.35">
      <c r="A149" s="6" t="s">
        <v>362</v>
      </c>
      <c r="B149" s="6" t="s">
        <v>61</v>
      </c>
      <c r="C149" s="6" t="s">
        <v>50</v>
      </c>
      <c r="E149" s="6" t="s">
        <v>363</v>
      </c>
    </row>
    <row r="150" spans="1:5" ht="12.75" customHeight="1" x14ac:dyDescent="0.35">
      <c r="A150" s="6" t="s">
        <v>364</v>
      </c>
      <c r="B150" s="6" t="s">
        <v>52</v>
      </c>
      <c r="C150" s="6" t="s">
        <v>37</v>
      </c>
      <c r="E150" s="6" t="s">
        <v>365</v>
      </c>
    </row>
    <row r="151" spans="1:5" ht="12.75" customHeight="1" x14ac:dyDescent="0.35">
      <c r="A151" s="6" t="s">
        <v>366</v>
      </c>
      <c r="B151" s="6" t="s">
        <v>52</v>
      </c>
      <c r="C151" s="6" t="s">
        <v>53</v>
      </c>
      <c r="D151" s="6" t="s">
        <v>367</v>
      </c>
      <c r="E151" s="6" t="s">
        <v>368</v>
      </c>
    </row>
    <row r="152" spans="1:5" ht="12.75" customHeight="1" x14ac:dyDescent="0.35">
      <c r="A152" s="6" t="s">
        <v>369</v>
      </c>
      <c r="B152" s="6" t="s">
        <v>49</v>
      </c>
      <c r="C152" s="6" t="s">
        <v>43</v>
      </c>
      <c r="E152" s="6" t="s">
        <v>370</v>
      </c>
    </row>
    <row r="153" spans="1:5" ht="12.75" customHeight="1" x14ac:dyDescent="0.35">
      <c r="A153" s="6" t="s">
        <v>371</v>
      </c>
      <c r="B153" s="6" t="s">
        <v>42</v>
      </c>
      <c r="C153" s="6" t="s">
        <v>53</v>
      </c>
      <c r="E153" s="6" t="s">
        <v>372</v>
      </c>
    </row>
    <row r="154" spans="1:5" ht="12.75" customHeight="1" x14ac:dyDescent="0.35">
      <c r="A154" s="6" t="s">
        <v>373</v>
      </c>
      <c r="D154" s="6" t="s">
        <v>374</v>
      </c>
      <c r="E154" s="6" t="s">
        <v>61</v>
      </c>
    </row>
    <row r="155" spans="1:5" ht="12.75" customHeight="1" x14ac:dyDescent="0.35">
      <c r="A155" s="6" t="s">
        <v>375</v>
      </c>
      <c r="B155" s="6" t="s">
        <v>36</v>
      </c>
      <c r="C155" s="6" t="s">
        <v>53</v>
      </c>
      <c r="E155" s="6" t="s">
        <v>376</v>
      </c>
    </row>
    <row r="156" spans="1:5" ht="12.75" customHeight="1" x14ac:dyDescent="0.35">
      <c r="A156" s="6" t="s">
        <v>377</v>
      </c>
      <c r="B156" s="6" t="s">
        <v>66</v>
      </c>
      <c r="C156" s="6" t="s">
        <v>53</v>
      </c>
      <c r="D156" s="6" t="s">
        <v>378</v>
      </c>
      <c r="E156" s="6" t="s">
        <v>379</v>
      </c>
    </row>
    <row r="157" spans="1:5" ht="12.75" customHeight="1" x14ac:dyDescent="0.35">
      <c r="A157" s="6" t="s">
        <v>380</v>
      </c>
      <c r="D157" s="6" t="s">
        <v>381</v>
      </c>
      <c r="E157" s="6" t="s">
        <v>382</v>
      </c>
    </row>
    <row r="158" spans="1:5" ht="12.75" customHeight="1" x14ac:dyDescent="0.35">
      <c r="A158" s="6" t="s">
        <v>383</v>
      </c>
      <c r="B158" s="6" t="s">
        <v>52</v>
      </c>
      <c r="C158" s="6" t="s">
        <v>53</v>
      </c>
      <c r="E158" s="6" t="s">
        <v>384</v>
      </c>
    </row>
    <row r="159" spans="1:5" ht="12.75" customHeight="1" x14ac:dyDescent="0.35">
      <c r="A159" s="6" t="s">
        <v>385</v>
      </c>
      <c r="B159" s="6" t="s">
        <v>49</v>
      </c>
      <c r="C159" s="6" t="s">
        <v>43</v>
      </c>
      <c r="E159" s="6" t="s">
        <v>386</v>
      </c>
    </row>
    <row r="160" spans="1:5" ht="12.75" customHeight="1" x14ac:dyDescent="0.35">
      <c r="A160" s="6" t="s">
        <v>387</v>
      </c>
      <c r="B160" s="6" t="s">
        <v>61</v>
      </c>
      <c r="C160" s="6" t="s">
        <v>37</v>
      </c>
      <c r="D160" s="6" t="s">
        <v>388</v>
      </c>
      <c r="E160" s="6" t="s">
        <v>389</v>
      </c>
    </row>
    <row r="161" spans="1:5" ht="12.75" customHeight="1" x14ac:dyDescent="0.35">
      <c r="A161" s="6" t="s">
        <v>390</v>
      </c>
      <c r="B161" s="6" t="s">
        <v>66</v>
      </c>
      <c r="C161" s="6" t="s">
        <v>50</v>
      </c>
      <c r="D161" s="6" t="s">
        <v>254</v>
      </c>
      <c r="E161" s="6" t="s">
        <v>391</v>
      </c>
    </row>
    <row r="162" spans="1:5" ht="12.75" customHeight="1" x14ac:dyDescent="0.35">
      <c r="A162" s="6" t="s">
        <v>392</v>
      </c>
      <c r="E162" s="6" t="s">
        <v>393</v>
      </c>
    </row>
    <row r="163" spans="1:5" ht="12.75" customHeight="1" x14ac:dyDescent="0.35">
      <c r="A163" s="6" t="s">
        <v>394</v>
      </c>
      <c r="B163" s="6" t="s">
        <v>52</v>
      </c>
      <c r="C163" s="6" t="s">
        <v>53</v>
      </c>
      <c r="D163" s="6" t="s">
        <v>395</v>
      </c>
      <c r="E163" s="6" t="s">
        <v>396</v>
      </c>
    </row>
    <row r="164" spans="1:5" ht="12.75" customHeight="1" x14ac:dyDescent="0.35">
      <c r="A164" s="6" t="s">
        <v>397</v>
      </c>
      <c r="B164" s="6" t="s">
        <v>66</v>
      </c>
      <c r="C164" s="6" t="s">
        <v>50</v>
      </c>
      <c r="E164" s="6" t="s">
        <v>398</v>
      </c>
    </row>
    <row r="165" spans="1:5" ht="12.75" customHeight="1" x14ac:dyDescent="0.35">
      <c r="A165" s="6" t="s">
        <v>399</v>
      </c>
      <c r="B165" s="6" t="s">
        <v>66</v>
      </c>
      <c r="C165" s="6" t="s">
        <v>37</v>
      </c>
      <c r="E165" s="6" t="s">
        <v>400</v>
      </c>
    </row>
    <row r="166" spans="1:5" ht="12.75" customHeight="1" x14ac:dyDescent="0.35">
      <c r="A166" s="6" t="s">
        <v>401</v>
      </c>
      <c r="B166" s="6" t="s">
        <v>49</v>
      </c>
      <c r="C166" s="6" t="s">
        <v>43</v>
      </c>
      <c r="E166" s="6" t="s">
        <v>402</v>
      </c>
    </row>
    <row r="167" spans="1:5" ht="12.75" customHeight="1" x14ac:dyDescent="0.35">
      <c r="A167" s="6" t="s">
        <v>403</v>
      </c>
      <c r="B167" s="6" t="s">
        <v>49</v>
      </c>
      <c r="C167" s="6" t="s">
        <v>50</v>
      </c>
      <c r="D167" s="6" t="s">
        <v>404</v>
      </c>
      <c r="E167" s="6" t="s">
        <v>405</v>
      </c>
    </row>
    <row r="168" spans="1:5" ht="12.75" customHeight="1" x14ac:dyDescent="0.35">
      <c r="A168" s="6" t="s">
        <v>406</v>
      </c>
      <c r="B168" s="6" t="s">
        <v>49</v>
      </c>
      <c r="C168" s="6" t="s">
        <v>53</v>
      </c>
      <c r="E168" s="6" t="s">
        <v>407</v>
      </c>
    </row>
    <row r="169" spans="1:5" ht="12.75" customHeight="1" x14ac:dyDescent="0.35">
      <c r="A169" s="6" t="s">
        <v>408</v>
      </c>
      <c r="B169" s="6" t="s">
        <v>49</v>
      </c>
      <c r="C169" s="6" t="s">
        <v>43</v>
      </c>
      <c r="E169" s="6" t="s">
        <v>409</v>
      </c>
    </row>
    <row r="170" spans="1:5" ht="12.75" customHeight="1" x14ac:dyDescent="0.35">
      <c r="A170" s="6" t="s">
        <v>410</v>
      </c>
      <c r="B170" s="6" t="s">
        <v>66</v>
      </c>
      <c r="C170" s="6" t="s">
        <v>53</v>
      </c>
      <c r="E170" s="6" t="s">
        <v>411</v>
      </c>
    </row>
    <row r="171" spans="1:5" ht="12.75" customHeight="1" x14ac:dyDescent="0.35">
      <c r="A171" s="6" t="s">
        <v>412</v>
      </c>
      <c r="D171" s="6" t="s">
        <v>413</v>
      </c>
      <c r="E171" s="6" t="s">
        <v>94</v>
      </c>
    </row>
    <row r="172" spans="1:5" ht="12.75" customHeight="1" x14ac:dyDescent="0.35">
      <c r="A172" s="6" t="s">
        <v>414</v>
      </c>
      <c r="B172" s="6" t="s">
        <v>49</v>
      </c>
      <c r="C172" s="6" t="s">
        <v>53</v>
      </c>
      <c r="D172" s="6" t="s">
        <v>106</v>
      </c>
      <c r="E172" s="6" t="s">
        <v>415</v>
      </c>
    </row>
    <row r="173" spans="1:5" ht="12.75" customHeight="1" x14ac:dyDescent="0.35">
      <c r="A173" s="6" t="s">
        <v>416</v>
      </c>
      <c r="B173" s="6" t="s">
        <v>66</v>
      </c>
      <c r="C173" s="6" t="s">
        <v>37</v>
      </c>
      <c r="E173" s="6" t="s">
        <v>417</v>
      </c>
    </row>
    <row r="174" spans="1:5" ht="12.75" customHeight="1" x14ac:dyDescent="0.35">
      <c r="A174" s="6" t="s">
        <v>418</v>
      </c>
      <c r="B174" s="6" t="s">
        <v>49</v>
      </c>
      <c r="C174" s="6" t="s">
        <v>43</v>
      </c>
      <c r="E174" s="6" t="s">
        <v>419</v>
      </c>
    </row>
    <row r="175" spans="1:5" ht="12.75" customHeight="1" x14ac:dyDescent="0.35">
      <c r="A175" s="6" t="s">
        <v>420</v>
      </c>
      <c r="B175" s="6" t="s">
        <v>49</v>
      </c>
      <c r="C175" s="6" t="s">
        <v>50</v>
      </c>
      <c r="E175" s="6" t="s">
        <v>421</v>
      </c>
    </row>
    <row r="176" spans="1:5" ht="12.75" customHeight="1" x14ac:dyDescent="0.35">
      <c r="A176" s="6" t="s">
        <v>422</v>
      </c>
      <c r="B176" s="6" t="s">
        <v>36</v>
      </c>
      <c r="C176" s="6" t="s">
        <v>50</v>
      </c>
      <c r="E176" s="6" t="s">
        <v>423</v>
      </c>
    </row>
    <row r="177" spans="1:5" ht="12.75" customHeight="1" x14ac:dyDescent="0.35">
      <c r="A177" s="6" t="s">
        <v>424</v>
      </c>
      <c r="B177" s="6" t="s">
        <v>52</v>
      </c>
      <c r="C177" s="6" t="s">
        <v>37</v>
      </c>
      <c r="D177" s="6" t="s">
        <v>425</v>
      </c>
      <c r="E177" s="6" t="s">
        <v>426</v>
      </c>
    </row>
    <row r="178" spans="1:5" ht="12.75" customHeight="1" x14ac:dyDescent="0.35">
      <c r="A178" s="6" t="s">
        <v>427</v>
      </c>
      <c r="B178" s="6" t="s">
        <v>52</v>
      </c>
      <c r="C178" s="6" t="s">
        <v>37</v>
      </c>
      <c r="E178" s="6" t="s">
        <v>428</v>
      </c>
    </row>
    <row r="179" spans="1:5" ht="12.75" customHeight="1" x14ac:dyDescent="0.35">
      <c r="A179" s="6" t="s">
        <v>429</v>
      </c>
      <c r="B179" s="6" t="s">
        <v>42</v>
      </c>
      <c r="C179" s="6" t="s">
        <v>50</v>
      </c>
      <c r="D179" s="6" t="s">
        <v>430</v>
      </c>
      <c r="E179" s="6" t="s">
        <v>431</v>
      </c>
    </row>
    <row r="180" spans="1:5" ht="12.75" customHeight="1" x14ac:dyDescent="0.35">
      <c r="A180" s="6" t="s">
        <v>432</v>
      </c>
      <c r="B180" s="6" t="s">
        <v>66</v>
      </c>
      <c r="C180" s="6" t="s">
        <v>37</v>
      </c>
      <c r="D180" s="6" t="s">
        <v>69</v>
      </c>
      <c r="E180" s="6" t="s">
        <v>433</v>
      </c>
    </row>
    <row r="181" spans="1:5" ht="12.75" customHeight="1" x14ac:dyDescent="0.35">
      <c r="A181" s="6" t="s">
        <v>434</v>
      </c>
      <c r="B181" s="6" t="s">
        <v>66</v>
      </c>
      <c r="C181" s="6" t="s">
        <v>37</v>
      </c>
      <c r="D181" s="6" t="s">
        <v>106</v>
      </c>
      <c r="E181" s="6" t="s">
        <v>435</v>
      </c>
    </row>
    <row r="182" spans="1:5" ht="12.75" customHeight="1" x14ac:dyDescent="0.35">
      <c r="A182" s="6" t="s">
        <v>436</v>
      </c>
      <c r="E182" s="6" t="s">
        <v>437</v>
      </c>
    </row>
    <row r="183" spans="1:5" ht="12.75" customHeight="1" x14ac:dyDescent="0.35">
      <c r="A183" s="6" t="s">
        <v>438</v>
      </c>
      <c r="B183" s="6" t="s">
        <v>61</v>
      </c>
      <c r="C183" s="6" t="s">
        <v>37</v>
      </c>
      <c r="E183" s="6" t="s">
        <v>439</v>
      </c>
    </row>
    <row r="184" spans="1:5" ht="12.75" customHeight="1" x14ac:dyDescent="0.35">
      <c r="A184" s="6" t="s">
        <v>440</v>
      </c>
      <c r="E184" s="6" t="s">
        <v>441</v>
      </c>
    </row>
    <row r="185" spans="1:5" ht="12.75" customHeight="1" x14ac:dyDescent="0.35">
      <c r="A185" s="6" t="s">
        <v>442</v>
      </c>
      <c r="B185" s="6" t="s">
        <v>42</v>
      </c>
      <c r="C185" s="6" t="s">
        <v>50</v>
      </c>
      <c r="D185" s="6" t="s">
        <v>69</v>
      </c>
      <c r="E185" s="6" t="s">
        <v>443</v>
      </c>
    </row>
    <row r="186" spans="1:5" ht="12.75" customHeight="1" x14ac:dyDescent="0.35">
      <c r="A186" s="6" t="s">
        <v>444</v>
      </c>
      <c r="B186" s="6" t="s">
        <v>36</v>
      </c>
      <c r="C186" s="6" t="s">
        <v>53</v>
      </c>
      <c r="E186" s="6" t="s">
        <v>445</v>
      </c>
    </row>
    <row r="187" spans="1:5" ht="12.75" customHeight="1" x14ac:dyDescent="0.35">
      <c r="A187" s="6" t="s">
        <v>446</v>
      </c>
      <c r="B187" s="6" t="s">
        <v>36</v>
      </c>
      <c r="C187" s="6" t="s">
        <v>53</v>
      </c>
      <c r="E187" s="6" t="s">
        <v>447</v>
      </c>
    </row>
    <row r="188" spans="1:5" ht="12.75" customHeight="1" x14ac:dyDescent="0.35">
      <c r="A188" s="6" t="s">
        <v>448</v>
      </c>
      <c r="B188" s="6" t="s">
        <v>66</v>
      </c>
      <c r="C188" s="6" t="s">
        <v>50</v>
      </c>
      <c r="E188" s="6" t="s">
        <v>449</v>
      </c>
    </row>
    <row r="189" spans="1:5" ht="12.75" customHeight="1" x14ac:dyDescent="0.35">
      <c r="A189" s="6" t="s">
        <v>450</v>
      </c>
      <c r="B189" s="6" t="s">
        <v>66</v>
      </c>
      <c r="C189" s="6" t="s">
        <v>37</v>
      </c>
      <c r="D189" s="6" t="s">
        <v>378</v>
      </c>
      <c r="E189" s="6" t="s">
        <v>451</v>
      </c>
    </row>
    <row r="190" spans="1:5" ht="12.75" customHeight="1" x14ac:dyDescent="0.35">
      <c r="A190" s="6" t="s">
        <v>452</v>
      </c>
      <c r="B190" s="6" t="s">
        <v>66</v>
      </c>
      <c r="C190" s="6" t="s">
        <v>50</v>
      </c>
      <c r="E190" s="6" t="s">
        <v>453</v>
      </c>
    </row>
    <row r="191" spans="1:5" ht="12.75" customHeight="1" x14ac:dyDescent="0.35">
      <c r="A191" s="6" t="s">
        <v>454</v>
      </c>
      <c r="B191" s="6" t="s">
        <v>52</v>
      </c>
      <c r="C191" s="6" t="s">
        <v>37</v>
      </c>
      <c r="E191" s="6" t="s">
        <v>455</v>
      </c>
    </row>
    <row r="192" spans="1:5" ht="12.75" customHeight="1" x14ac:dyDescent="0.35">
      <c r="A192" s="6" t="s">
        <v>456</v>
      </c>
      <c r="D192" s="6" t="s">
        <v>457</v>
      </c>
      <c r="E192" s="6" t="s">
        <v>458</v>
      </c>
    </row>
    <row r="193" spans="1:5" ht="12.75" customHeight="1" x14ac:dyDescent="0.35">
      <c r="A193" s="6" t="s">
        <v>459</v>
      </c>
      <c r="B193" s="6" t="s">
        <v>36</v>
      </c>
      <c r="C193" s="6" t="s">
        <v>37</v>
      </c>
      <c r="D193" s="6" t="s">
        <v>69</v>
      </c>
      <c r="E193" s="6" t="s">
        <v>460</v>
      </c>
    </row>
    <row r="194" spans="1:5" ht="12.75" customHeight="1" x14ac:dyDescent="0.35">
      <c r="A194" s="6" t="s">
        <v>461</v>
      </c>
      <c r="B194" s="6" t="s">
        <v>66</v>
      </c>
      <c r="C194" s="6" t="s">
        <v>43</v>
      </c>
      <c r="E194" s="6" t="s">
        <v>462</v>
      </c>
    </row>
    <row r="195" spans="1:5" ht="12.75" customHeight="1" x14ac:dyDescent="0.35">
      <c r="A195" s="6" t="s">
        <v>463</v>
      </c>
      <c r="B195" s="6" t="s">
        <v>52</v>
      </c>
      <c r="C195" s="6" t="s">
        <v>37</v>
      </c>
      <c r="D195" s="6" t="s">
        <v>464</v>
      </c>
      <c r="E195" s="6" t="s">
        <v>465</v>
      </c>
    </row>
    <row r="196" spans="1:5" ht="12.75" customHeight="1" x14ac:dyDescent="0.35">
      <c r="A196" s="6" t="s">
        <v>466</v>
      </c>
      <c r="B196" s="6" t="s">
        <v>36</v>
      </c>
      <c r="C196" s="6" t="s">
        <v>53</v>
      </c>
      <c r="E196" s="6" t="s">
        <v>467</v>
      </c>
    </row>
    <row r="197" spans="1:5" ht="12.75" customHeight="1" x14ac:dyDescent="0.35">
      <c r="A197" s="6" t="s">
        <v>468</v>
      </c>
      <c r="B197" s="6" t="s">
        <v>61</v>
      </c>
      <c r="C197" s="6" t="s">
        <v>50</v>
      </c>
      <c r="E197" s="6" t="s">
        <v>469</v>
      </c>
    </row>
    <row r="198" spans="1:5" ht="12.75" customHeight="1" x14ac:dyDescent="0.35">
      <c r="A198" s="6" t="s">
        <v>470</v>
      </c>
      <c r="D198" s="6" t="s">
        <v>471</v>
      </c>
      <c r="E198" s="6" t="s">
        <v>472</v>
      </c>
    </row>
    <row r="199" spans="1:5" ht="12.75" customHeight="1" x14ac:dyDescent="0.35">
      <c r="A199" s="6" t="s">
        <v>473</v>
      </c>
      <c r="D199" s="6" t="s">
        <v>474</v>
      </c>
      <c r="E199" s="6" t="s">
        <v>475</v>
      </c>
    </row>
    <row r="200" spans="1:5" ht="12.75" customHeight="1" x14ac:dyDescent="0.35">
      <c r="A200" s="6" t="s">
        <v>476</v>
      </c>
      <c r="B200" s="6" t="s">
        <v>66</v>
      </c>
      <c r="C200" s="6" t="s">
        <v>37</v>
      </c>
      <c r="E200" s="6" t="s">
        <v>477</v>
      </c>
    </row>
    <row r="201" spans="1:5" ht="12.75" customHeight="1" x14ac:dyDescent="0.35">
      <c r="A201" s="6" t="s">
        <v>478</v>
      </c>
      <c r="B201" s="6" t="s">
        <v>61</v>
      </c>
      <c r="C201" s="6" t="s">
        <v>37</v>
      </c>
      <c r="E201" s="6" t="s">
        <v>479</v>
      </c>
    </row>
    <row r="202" spans="1:5" ht="12.75" customHeight="1" x14ac:dyDescent="0.35">
      <c r="A202" s="6" t="s">
        <v>480</v>
      </c>
      <c r="B202" s="6" t="s">
        <v>52</v>
      </c>
      <c r="C202" s="6" t="s">
        <v>53</v>
      </c>
      <c r="E202" s="6" t="s">
        <v>481</v>
      </c>
    </row>
    <row r="203" spans="1:5" ht="12.75" customHeight="1" x14ac:dyDescent="0.35">
      <c r="A203" s="6" t="s">
        <v>482</v>
      </c>
      <c r="B203" s="6" t="s">
        <v>52</v>
      </c>
      <c r="C203" s="6" t="s">
        <v>53</v>
      </c>
      <c r="E203" s="6" t="s">
        <v>483</v>
      </c>
    </row>
    <row r="204" spans="1:5" ht="12.75" customHeight="1" x14ac:dyDescent="0.35">
      <c r="A204" s="6" t="s">
        <v>484</v>
      </c>
      <c r="B204" s="6" t="s">
        <v>49</v>
      </c>
      <c r="C204" s="6" t="s">
        <v>43</v>
      </c>
      <c r="E204" s="6" t="s">
        <v>485</v>
      </c>
    </row>
    <row r="205" spans="1:5" ht="12.75" customHeight="1" x14ac:dyDescent="0.35">
      <c r="A205" s="6" t="s">
        <v>486</v>
      </c>
      <c r="E205" s="6" t="s">
        <v>42</v>
      </c>
    </row>
    <row r="206" spans="1:5" ht="12.75" customHeight="1" x14ac:dyDescent="0.35">
      <c r="A206" s="6" t="s">
        <v>487</v>
      </c>
      <c r="B206" s="6" t="s">
        <v>61</v>
      </c>
      <c r="C206" s="6" t="s">
        <v>37</v>
      </c>
      <c r="E206" s="6" t="s">
        <v>488</v>
      </c>
    </row>
    <row r="207" spans="1:5" ht="12.75" customHeight="1" x14ac:dyDescent="0.35">
      <c r="A207" s="6" t="s">
        <v>489</v>
      </c>
      <c r="B207" s="6" t="s">
        <v>49</v>
      </c>
      <c r="C207" s="6" t="s">
        <v>43</v>
      </c>
      <c r="E207" s="6" t="s">
        <v>490</v>
      </c>
    </row>
    <row r="208" spans="1:5" ht="12.75" customHeight="1" x14ac:dyDescent="0.35">
      <c r="A208" s="6" t="s">
        <v>491</v>
      </c>
      <c r="B208" s="6" t="s">
        <v>49</v>
      </c>
      <c r="C208" s="6" t="s">
        <v>50</v>
      </c>
      <c r="E208" s="6" t="s">
        <v>492</v>
      </c>
    </row>
    <row r="209" spans="1:5" ht="12.75" customHeight="1" x14ac:dyDescent="0.35">
      <c r="A209" s="6" t="s">
        <v>493</v>
      </c>
      <c r="B209" s="6" t="s">
        <v>66</v>
      </c>
      <c r="C209" s="6" t="s">
        <v>37</v>
      </c>
      <c r="D209" s="6" t="s">
        <v>106</v>
      </c>
      <c r="E209" s="6" t="s">
        <v>494</v>
      </c>
    </row>
    <row r="210" spans="1:5" ht="12.75" customHeight="1" x14ac:dyDescent="0.35">
      <c r="A210" s="6" t="s">
        <v>495</v>
      </c>
      <c r="B210" s="6" t="s">
        <v>66</v>
      </c>
      <c r="C210" s="6" t="s">
        <v>50</v>
      </c>
      <c r="E210" s="6" t="s">
        <v>496</v>
      </c>
    </row>
    <row r="211" spans="1:5" ht="12.75" customHeight="1" x14ac:dyDescent="0.35">
      <c r="A211" s="6" t="s">
        <v>497</v>
      </c>
      <c r="B211" s="6" t="s">
        <v>49</v>
      </c>
      <c r="C211" s="6" t="s">
        <v>43</v>
      </c>
      <c r="E211" s="6" t="s">
        <v>498</v>
      </c>
    </row>
    <row r="212" spans="1:5" ht="12.75" customHeight="1" x14ac:dyDescent="0.35">
      <c r="A212" s="6" t="s">
        <v>499</v>
      </c>
      <c r="B212" s="6" t="s">
        <v>36</v>
      </c>
      <c r="C212" s="6" t="s">
        <v>50</v>
      </c>
      <c r="E212" s="6" t="s">
        <v>500</v>
      </c>
    </row>
    <row r="213" spans="1:5" ht="12.75" customHeight="1" x14ac:dyDescent="0.35">
      <c r="A213" s="6" t="s">
        <v>501</v>
      </c>
      <c r="B213" s="6" t="s">
        <v>52</v>
      </c>
      <c r="C213" s="6" t="s">
        <v>37</v>
      </c>
      <c r="E213" s="6" t="s">
        <v>502</v>
      </c>
    </row>
    <row r="214" spans="1:5" ht="12.75" customHeight="1" x14ac:dyDescent="0.35">
      <c r="A214" s="6" t="s">
        <v>503</v>
      </c>
      <c r="B214" s="6" t="s">
        <v>49</v>
      </c>
      <c r="C214" s="6" t="s">
        <v>43</v>
      </c>
      <c r="E214" s="6" t="s">
        <v>504</v>
      </c>
    </row>
    <row r="215" spans="1:5" ht="12.75" customHeight="1" x14ac:dyDescent="0.35">
      <c r="A215" s="6" t="s">
        <v>505</v>
      </c>
      <c r="B215" s="6" t="s">
        <v>52</v>
      </c>
      <c r="C215" s="6" t="s">
        <v>53</v>
      </c>
      <c r="D215" s="6" t="s">
        <v>506</v>
      </c>
      <c r="E215" s="6" t="s">
        <v>507</v>
      </c>
    </row>
    <row r="216" spans="1:5" ht="12.75" customHeight="1" x14ac:dyDescent="0.35">
      <c r="A216" s="6" t="s">
        <v>508</v>
      </c>
      <c r="E216" s="6" t="s">
        <v>509</v>
      </c>
    </row>
    <row r="217" spans="1:5" ht="12.75" customHeight="1" x14ac:dyDescent="0.35">
      <c r="A217" s="6" t="s">
        <v>510</v>
      </c>
      <c r="B217" s="6" t="s">
        <v>49</v>
      </c>
      <c r="C217" s="6" t="s">
        <v>43</v>
      </c>
      <c r="D217" s="6" t="s">
        <v>69</v>
      </c>
      <c r="E217" s="6" t="s">
        <v>511</v>
      </c>
    </row>
    <row r="218" spans="1:5" ht="12.75" customHeight="1" x14ac:dyDescent="0.35">
      <c r="A218" s="6" t="s">
        <v>512</v>
      </c>
      <c r="D218" s="6" t="s">
        <v>513</v>
      </c>
      <c r="E218" s="6" t="s">
        <v>49</v>
      </c>
    </row>
    <row r="219" spans="1:5" ht="12.75" customHeight="1" x14ac:dyDescent="0.35">
      <c r="A219" s="6" t="s">
        <v>514</v>
      </c>
      <c r="D219" s="6" t="s">
        <v>515</v>
      </c>
      <c r="E219" s="6" t="s">
        <v>516</v>
      </c>
    </row>
    <row r="220" spans="1:5" ht="12.75" customHeight="1" x14ac:dyDescent="0.35">
      <c r="A220" s="6" t="s">
        <v>517</v>
      </c>
      <c r="B220" s="6" t="s">
        <v>49</v>
      </c>
      <c r="C220" s="6" t="s">
        <v>50</v>
      </c>
      <c r="D220" s="6" t="s">
        <v>518</v>
      </c>
      <c r="E220" s="6" t="s">
        <v>519</v>
      </c>
    </row>
    <row r="221" spans="1:5" ht="12.75" customHeight="1" x14ac:dyDescent="0.35">
      <c r="A221" s="6" t="s">
        <v>520</v>
      </c>
      <c r="B221" s="6" t="s">
        <v>36</v>
      </c>
      <c r="C221" s="6" t="s">
        <v>53</v>
      </c>
      <c r="E221" s="6" t="s">
        <v>521</v>
      </c>
    </row>
    <row r="222" spans="1:5" ht="12.75" customHeight="1" x14ac:dyDescent="0.35">
      <c r="A222" s="6" t="s">
        <v>522</v>
      </c>
      <c r="B222" s="6" t="s">
        <v>52</v>
      </c>
      <c r="C222" s="6" t="s">
        <v>37</v>
      </c>
      <c r="D222" s="6" t="s">
        <v>523</v>
      </c>
      <c r="E222" s="6" t="s">
        <v>524</v>
      </c>
    </row>
    <row r="223" spans="1:5" ht="12.75" customHeight="1" x14ac:dyDescent="0.35">
      <c r="A223" s="6" t="s">
        <v>525</v>
      </c>
      <c r="B223" s="6" t="s">
        <v>52</v>
      </c>
      <c r="C223" s="6" t="s">
        <v>37</v>
      </c>
      <c r="D223" s="6" t="s">
        <v>526</v>
      </c>
      <c r="E223" s="6" t="s">
        <v>527</v>
      </c>
    </row>
    <row r="224" spans="1:5" ht="12.75" customHeight="1" x14ac:dyDescent="0.35">
      <c r="A224" s="6" t="s">
        <v>528</v>
      </c>
      <c r="B224" s="6" t="s">
        <v>52</v>
      </c>
      <c r="C224" s="6" t="s">
        <v>37</v>
      </c>
      <c r="D224" s="6" t="s">
        <v>305</v>
      </c>
      <c r="E224" s="6" t="s">
        <v>529</v>
      </c>
    </row>
    <row r="225" spans="1:5" ht="12.75" customHeight="1" x14ac:dyDescent="0.35">
      <c r="A225" s="6" t="s">
        <v>530</v>
      </c>
      <c r="B225" s="6" t="s">
        <v>49</v>
      </c>
      <c r="C225" s="6" t="s">
        <v>50</v>
      </c>
      <c r="D225" s="6" t="s">
        <v>531</v>
      </c>
      <c r="E225" s="6" t="s">
        <v>532</v>
      </c>
    </row>
    <row r="226" spans="1:5" ht="12.75" customHeight="1" x14ac:dyDescent="0.35">
      <c r="A226" s="6" t="s">
        <v>533</v>
      </c>
      <c r="B226" s="6" t="s">
        <v>36</v>
      </c>
      <c r="C226" s="6" t="s">
        <v>37</v>
      </c>
      <c r="E226" s="6" t="s">
        <v>534</v>
      </c>
    </row>
    <row r="227" spans="1:5" ht="12.75" customHeight="1" x14ac:dyDescent="0.35">
      <c r="A227" s="6" t="s">
        <v>535</v>
      </c>
      <c r="B227" s="6" t="s">
        <v>49</v>
      </c>
      <c r="C227" s="6" t="s">
        <v>37</v>
      </c>
      <c r="E227" s="6" t="s">
        <v>536</v>
      </c>
    </row>
    <row r="228" spans="1:5" ht="12.75" customHeight="1" x14ac:dyDescent="0.35">
      <c r="A228" s="6" t="s">
        <v>537</v>
      </c>
      <c r="B228" s="6" t="s">
        <v>61</v>
      </c>
      <c r="C228" s="6" t="s">
        <v>43</v>
      </c>
      <c r="E228" s="6" t="s">
        <v>538</v>
      </c>
    </row>
    <row r="229" spans="1:5" ht="12.75" customHeight="1" x14ac:dyDescent="0.35">
      <c r="A229" s="6" t="s">
        <v>539</v>
      </c>
      <c r="B229" s="6" t="s">
        <v>36</v>
      </c>
      <c r="C229" s="6" t="s">
        <v>37</v>
      </c>
      <c r="E229" s="6" t="s">
        <v>540</v>
      </c>
    </row>
    <row r="230" spans="1:5" ht="12.75" customHeight="1" x14ac:dyDescent="0.35">
      <c r="A230" s="6" t="s">
        <v>541</v>
      </c>
      <c r="B230" s="6" t="s">
        <v>49</v>
      </c>
      <c r="C230" s="6" t="s">
        <v>43</v>
      </c>
      <c r="E230" s="6" t="s">
        <v>542</v>
      </c>
    </row>
    <row r="231" spans="1:5" ht="12.75" customHeight="1" x14ac:dyDescent="0.35">
      <c r="A231" s="6" t="s">
        <v>543</v>
      </c>
      <c r="D231" s="6" t="s">
        <v>544</v>
      </c>
      <c r="E231" s="6" t="s">
        <v>545</v>
      </c>
    </row>
    <row r="232" spans="1:5" ht="12.75" customHeight="1" x14ac:dyDescent="0.35">
      <c r="A232" s="6" t="s">
        <v>546</v>
      </c>
      <c r="D232" s="6" t="s">
        <v>547</v>
      </c>
      <c r="E232" s="6" t="s">
        <v>548</v>
      </c>
    </row>
    <row r="233" spans="1:5" ht="12.75" customHeight="1" x14ac:dyDescent="0.35">
      <c r="A233" s="6" t="s">
        <v>549</v>
      </c>
      <c r="B233" s="6" t="s">
        <v>49</v>
      </c>
      <c r="C233" s="6" t="s">
        <v>43</v>
      </c>
      <c r="E233" s="6" t="s">
        <v>550</v>
      </c>
    </row>
    <row r="234" spans="1:5" ht="12.75" customHeight="1" x14ac:dyDescent="0.35">
      <c r="A234" s="6" t="s">
        <v>551</v>
      </c>
      <c r="B234" s="6" t="s">
        <v>66</v>
      </c>
      <c r="C234" s="6" t="s">
        <v>53</v>
      </c>
      <c r="D234" s="6" t="s">
        <v>552</v>
      </c>
      <c r="E234" s="6" t="s">
        <v>553</v>
      </c>
    </row>
    <row r="235" spans="1:5" ht="12.75" customHeight="1" x14ac:dyDescent="0.35">
      <c r="A235" s="6" t="s">
        <v>554</v>
      </c>
      <c r="B235" s="6" t="s">
        <v>52</v>
      </c>
      <c r="C235" s="6" t="s">
        <v>50</v>
      </c>
      <c r="E235" s="6" t="s">
        <v>555</v>
      </c>
    </row>
    <row r="236" spans="1:5" ht="12.75" customHeight="1" x14ac:dyDescent="0.35">
      <c r="A236" s="6" t="s">
        <v>556</v>
      </c>
      <c r="B236" s="6" t="s">
        <v>52</v>
      </c>
      <c r="C236" s="6" t="s">
        <v>53</v>
      </c>
      <c r="E236" s="6" t="s">
        <v>557</v>
      </c>
    </row>
    <row r="237" spans="1:5" ht="12.75" customHeight="1" x14ac:dyDescent="0.35">
      <c r="A237" s="6" t="s">
        <v>558</v>
      </c>
      <c r="D237" s="6" t="s">
        <v>559</v>
      </c>
      <c r="E237" s="6" t="s">
        <v>560</v>
      </c>
    </row>
    <row r="238" spans="1:5" ht="12.75" customHeight="1" x14ac:dyDescent="0.35">
      <c r="A238" s="6" t="s">
        <v>561</v>
      </c>
      <c r="B238" s="6" t="s">
        <v>66</v>
      </c>
      <c r="C238" s="6" t="s">
        <v>50</v>
      </c>
      <c r="E238" s="6" t="s">
        <v>562</v>
      </c>
    </row>
    <row r="239" spans="1:5" ht="12.75" customHeight="1" x14ac:dyDescent="0.35">
      <c r="A239" s="6" t="s">
        <v>563</v>
      </c>
      <c r="D239" s="6" t="s">
        <v>564</v>
      </c>
      <c r="E239" s="6" t="s">
        <v>565</v>
      </c>
    </row>
    <row r="240" spans="1:5" ht="12.75" customHeight="1" x14ac:dyDescent="0.35">
      <c r="A240" s="6" t="s">
        <v>566</v>
      </c>
      <c r="B240" s="6" t="s">
        <v>66</v>
      </c>
      <c r="C240" s="6" t="s">
        <v>53</v>
      </c>
      <c r="D240" s="6" t="s">
        <v>69</v>
      </c>
      <c r="E240" s="6" t="s">
        <v>567</v>
      </c>
    </row>
    <row r="241" spans="1:5" ht="12.75" customHeight="1" x14ac:dyDescent="0.35">
      <c r="A241" s="6" t="s">
        <v>568</v>
      </c>
      <c r="D241" s="6" t="s">
        <v>569</v>
      </c>
      <c r="E241" s="6" t="s">
        <v>570</v>
      </c>
    </row>
    <row r="242" spans="1:5" ht="12.75" customHeight="1" x14ac:dyDescent="0.35">
      <c r="A242" s="6" t="s">
        <v>571</v>
      </c>
      <c r="D242" s="6" t="s">
        <v>572</v>
      </c>
      <c r="E242" s="6" t="s">
        <v>573</v>
      </c>
    </row>
    <row r="243" spans="1:5" ht="12.75" customHeight="1" x14ac:dyDescent="0.35">
      <c r="A243" s="6" t="s">
        <v>574</v>
      </c>
      <c r="B243" s="6" t="s">
        <v>36</v>
      </c>
      <c r="C243" s="6" t="s">
        <v>37</v>
      </c>
      <c r="E243" s="6" t="s">
        <v>575</v>
      </c>
    </row>
    <row r="244" spans="1:5" ht="12.75" customHeight="1" x14ac:dyDescent="0.35">
      <c r="A244" s="6" t="s">
        <v>576</v>
      </c>
      <c r="B244" s="6" t="s">
        <v>61</v>
      </c>
      <c r="C244" s="6" t="s">
        <v>50</v>
      </c>
      <c r="E244" s="6" t="s">
        <v>577</v>
      </c>
    </row>
    <row r="245" spans="1:5" ht="12.75" customHeight="1" x14ac:dyDescent="0.35">
      <c r="A245" s="6" t="s">
        <v>578</v>
      </c>
      <c r="B245" s="6" t="s">
        <v>52</v>
      </c>
      <c r="C245" s="6" t="s">
        <v>53</v>
      </c>
      <c r="E245" s="6" t="s">
        <v>579</v>
      </c>
    </row>
    <row r="246" spans="1:5" ht="12.75" customHeight="1" x14ac:dyDescent="0.35">
      <c r="A246" s="6" t="s">
        <v>580</v>
      </c>
      <c r="B246" s="6" t="s">
        <v>66</v>
      </c>
      <c r="C246" s="6" t="s">
        <v>53</v>
      </c>
      <c r="E246" s="6" t="s">
        <v>581</v>
      </c>
    </row>
    <row r="247" spans="1:5" ht="12.75" customHeight="1" x14ac:dyDescent="0.35">
      <c r="A247" s="6" t="s">
        <v>582</v>
      </c>
      <c r="B247" s="6" t="s">
        <v>49</v>
      </c>
      <c r="C247" s="6" t="s">
        <v>50</v>
      </c>
      <c r="E247" s="6" t="s">
        <v>583</v>
      </c>
    </row>
    <row r="248" spans="1:5" ht="12.75" customHeight="1" x14ac:dyDescent="0.35">
      <c r="A248" s="6" t="s">
        <v>584</v>
      </c>
      <c r="B248" s="6" t="s">
        <v>49</v>
      </c>
      <c r="C248" s="6" t="s">
        <v>43</v>
      </c>
      <c r="D248" s="6" t="s">
        <v>69</v>
      </c>
      <c r="E248" s="6" t="s">
        <v>585</v>
      </c>
    </row>
    <row r="249" spans="1:5" ht="12.75" customHeight="1" x14ac:dyDescent="0.35">
      <c r="A249" s="6" t="s">
        <v>586</v>
      </c>
      <c r="B249" s="6" t="s">
        <v>52</v>
      </c>
      <c r="C249" s="6" t="s">
        <v>50</v>
      </c>
      <c r="E249" s="6" t="s">
        <v>587</v>
      </c>
    </row>
    <row r="250" spans="1:5" ht="12.75" customHeight="1" x14ac:dyDescent="0.35">
      <c r="A250" s="6" t="s">
        <v>588</v>
      </c>
      <c r="D250" s="6" t="s">
        <v>589</v>
      </c>
      <c r="E250" s="6" t="s">
        <v>53</v>
      </c>
    </row>
    <row r="251" spans="1:5" ht="12.75" customHeight="1" x14ac:dyDescent="0.35">
      <c r="A251" s="6" t="s">
        <v>590</v>
      </c>
      <c r="B251" s="6" t="s">
        <v>36</v>
      </c>
      <c r="C251" s="6" t="s">
        <v>37</v>
      </c>
      <c r="E251" s="6" t="s">
        <v>591</v>
      </c>
    </row>
    <row r="252" spans="1:5" ht="12.75" customHeight="1" x14ac:dyDescent="0.35">
      <c r="A252" s="6" t="s">
        <v>592</v>
      </c>
      <c r="B252" s="6" t="s">
        <v>94</v>
      </c>
      <c r="C252" s="6" t="s">
        <v>37</v>
      </c>
      <c r="E252" s="6" t="s">
        <v>593</v>
      </c>
    </row>
    <row r="253" spans="1:5" ht="12.75" customHeight="1" x14ac:dyDescent="0.35">
      <c r="A253" s="6" t="s">
        <v>594</v>
      </c>
      <c r="B253" s="6" t="s">
        <v>52</v>
      </c>
      <c r="C253" s="6" t="s">
        <v>50</v>
      </c>
      <c r="E253" s="6" t="s">
        <v>595</v>
      </c>
    </row>
    <row r="254" spans="1:5" ht="12.75" customHeight="1" x14ac:dyDescent="0.35">
      <c r="A254" s="6" t="s">
        <v>596</v>
      </c>
      <c r="B254" s="6" t="s">
        <v>36</v>
      </c>
      <c r="C254" s="6" t="s">
        <v>53</v>
      </c>
      <c r="E254" s="6" t="s">
        <v>597</v>
      </c>
    </row>
    <row r="255" spans="1:5" ht="12.75" customHeight="1" x14ac:dyDescent="0.35">
      <c r="A255" s="6" t="s">
        <v>598</v>
      </c>
      <c r="B255" s="6" t="s">
        <v>36</v>
      </c>
      <c r="E255" s="6" t="s">
        <v>599</v>
      </c>
    </row>
    <row r="256" spans="1:5" ht="12.75" customHeight="1" x14ac:dyDescent="0.35">
      <c r="A256" s="6" t="s">
        <v>600</v>
      </c>
      <c r="B256" s="6" t="s">
        <v>36</v>
      </c>
      <c r="C256" s="6" t="s">
        <v>37</v>
      </c>
      <c r="E256" s="6" t="s">
        <v>601</v>
      </c>
    </row>
    <row r="257" spans="1:5" ht="12.75" customHeight="1" x14ac:dyDescent="0.35">
      <c r="A257" s="6" t="s">
        <v>602</v>
      </c>
      <c r="B257" s="6" t="s">
        <v>36</v>
      </c>
      <c r="C257" s="6" t="s">
        <v>37</v>
      </c>
      <c r="E257" s="6" t="s">
        <v>603</v>
      </c>
    </row>
    <row r="258" spans="1:5" ht="12.75" customHeight="1" x14ac:dyDescent="0.35">
      <c r="A258" s="6" t="s">
        <v>604</v>
      </c>
      <c r="B258" s="6" t="s">
        <v>66</v>
      </c>
      <c r="C258" s="6" t="s">
        <v>50</v>
      </c>
      <c r="E258" s="6" t="s">
        <v>605</v>
      </c>
    </row>
    <row r="259" spans="1:5" ht="12.75" customHeight="1" x14ac:dyDescent="0.35">
      <c r="A259" s="6" t="s">
        <v>606</v>
      </c>
      <c r="B259" s="6" t="s">
        <v>66</v>
      </c>
      <c r="C259" s="6" t="s">
        <v>50</v>
      </c>
      <c r="E259" s="6" t="s">
        <v>607</v>
      </c>
    </row>
    <row r="260" spans="1:5" ht="12.75" customHeight="1" x14ac:dyDescent="0.35">
      <c r="A260" s="6" t="s">
        <v>608</v>
      </c>
      <c r="D260" s="6" t="s">
        <v>609</v>
      </c>
      <c r="E260" s="6" t="s">
        <v>610</v>
      </c>
    </row>
    <row r="261" spans="1:5" ht="12.75" customHeight="1" x14ac:dyDescent="0.35">
      <c r="A261" s="6" t="s">
        <v>611</v>
      </c>
      <c r="B261" s="6" t="s">
        <v>66</v>
      </c>
      <c r="C261" s="6" t="s">
        <v>50</v>
      </c>
      <c r="D261" s="6" t="s">
        <v>612</v>
      </c>
      <c r="E261" s="6" t="s">
        <v>613</v>
      </c>
    </row>
    <row r="262" spans="1:5" ht="12.75" customHeight="1" x14ac:dyDescent="0.35">
      <c r="A262" s="6" t="s">
        <v>614</v>
      </c>
      <c r="B262" s="6" t="s">
        <v>52</v>
      </c>
      <c r="C262" s="6" t="s">
        <v>53</v>
      </c>
      <c r="E262" s="6" t="s">
        <v>615</v>
      </c>
    </row>
    <row r="263" spans="1:5" ht="12.75" customHeight="1" x14ac:dyDescent="0.35">
      <c r="A263" s="6" t="s">
        <v>616</v>
      </c>
      <c r="B263" s="6" t="s">
        <v>61</v>
      </c>
      <c r="C263" s="6" t="s">
        <v>43</v>
      </c>
      <c r="E263" s="6" t="s">
        <v>617</v>
      </c>
    </row>
    <row r="264" spans="1:5" ht="12.75" customHeight="1" x14ac:dyDescent="0.35">
      <c r="A264" s="6" t="s">
        <v>618</v>
      </c>
      <c r="B264" s="6" t="s">
        <v>49</v>
      </c>
      <c r="C264" s="6" t="s">
        <v>53</v>
      </c>
      <c r="D264" s="6" t="s">
        <v>106</v>
      </c>
      <c r="E264" s="6" t="s">
        <v>619</v>
      </c>
    </row>
    <row r="265" spans="1:5" ht="12.75" customHeight="1" x14ac:dyDescent="0.35">
      <c r="A265" s="6" t="s">
        <v>620</v>
      </c>
      <c r="B265" s="6" t="s">
        <v>49</v>
      </c>
      <c r="C265" s="6" t="s">
        <v>50</v>
      </c>
      <c r="D265" s="6" t="s">
        <v>621</v>
      </c>
      <c r="E265" s="6" t="s">
        <v>622</v>
      </c>
    </row>
    <row r="266" spans="1:5" ht="12.75" customHeight="1" x14ac:dyDescent="0.35">
      <c r="A266" s="6" t="s">
        <v>623</v>
      </c>
      <c r="B266" s="6" t="s">
        <v>49</v>
      </c>
      <c r="C266" s="6" t="s">
        <v>50</v>
      </c>
      <c r="D266" s="6" t="s">
        <v>624</v>
      </c>
      <c r="E266" s="6" t="s">
        <v>625</v>
      </c>
    </row>
    <row r="267" spans="1:5" ht="12.75" customHeight="1" x14ac:dyDescent="0.35"/>
    <row r="268" spans="1:5" ht="12.75" customHeight="1" x14ac:dyDescent="0.35"/>
    <row r="269" spans="1:5" ht="12.75" customHeight="1" x14ac:dyDescent="0.35"/>
    <row r="270" spans="1:5" ht="12.75" customHeight="1" x14ac:dyDescent="0.35"/>
    <row r="271" spans="1:5" ht="12.75" customHeight="1" x14ac:dyDescent="0.35"/>
    <row r="272" spans="1:5" ht="12.75" customHeight="1" x14ac:dyDescent="0.35"/>
    <row r="273" ht="12.75" customHeight="1" x14ac:dyDescent="0.35"/>
    <row r="274" ht="12.75" customHeight="1" x14ac:dyDescent="0.35"/>
    <row r="275" ht="12.75" customHeight="1" x14ac:dyDescent="0.35"/>
    <row r="276" ht="12.75" customHeight="1" x14ac:dyDescent="0.35"/>
    <row r="277" ht="12.75" customHeight="1" x14ac:dyDescent="0.35"/>
    <row r="278" ht="12.75" customHeight="1" x14ac:dyDescent="0.35"/>
    <row r="279" ht="12.75" customHeight="1" x14ac:dyDescent="0.35"/>
    <row r="280" ht="12.75" customHeight="1" x14ac:dyDescent="0.35"/>
    <row r="281" ht="12.75" customHeight="1" x14ac:dyDescent="0.35"/>
    <row r="282" ht="12.75" customHeight="1" x14ac:dyDescent="0.35"/>
    <row r="283" ht="12.75" customHeight="1" x14ac:dyDescent="0.35"/>
    <row r="284" ht="12.75" customHeight="1" x14ac:dyDescent="0.35"/>
    <row r="285" ht="12.75" customHeight="1" x14ac:dyDescent="0.35"/>
    <row r="286" ht="12.75" customHeight="1" x14ac:dyDescent="0.35"/>
    <row r="287" ht="12.75" customHeight="1" x14ac:dyDescent="0.35"/>
    <row r="288" ht="12.75" customHeight="1" x14ac:dyDescent="0.35"/>
    <row r="289" ht="12.75" customHeight="1" x14ac:dyDescent="0.35"/>
    <row r="290" ht="12.75" customHeight="1" x14ac:dyDescent="0.35"/>
    <row r="291" ht="12.75" customHeight="1" x14ac:dyDescent="0.35"/>
    <row r="292" ht="12.75" customHeight="1" x14ac:dyDescent="0.35"/>
    <row r="293" ht="12.75" customHeight="1" x14ac:dyDescent="0.35"/>
    <row r="294" ht="12.75" customHeight="1" x14ac:dyDescent="0.35"/>
    <row r="295" ht="12.75" customHeight="1" x14ac:dyDescent="0.35"/>
    <row r="296" ht="12.75" customHeight="1" x14ac:dyDescent="0.35"/>
    <row r="297" ht="12.75" customHeight="1" x14ac:dyDescent="0.35"/>
    <row r="298" ht="12.75" customHeight="1" x14ac:dyDescent="0.35"/>
    <row r="299" ht="12.75" customHeight="1" x14ac:dyDescent="0.35"/>
    <row r="300" ht="12.75" customHeight="1" x14ac:dyDescent="0.35"/>
    <row r="301" ht="12.75" customHeight="1" x14ac:dyDescent="0.35"/>
    <row r="302" ht="12.75" customHeight="1" x14ac:dyDescent="0.35"/>
    <row r="303" ht="12.75" customHeight="1" x14ac:dyDescent="0.35"/>
    <row r="304" ht="12.75" customHeight="1" x14ac:dyDescent="0.35"/>
    <row r="305" ht="12.75" customHeight="1" x14ac:dyDescent="0.35"/>
    <row r="306" ht="12.75" customHeight="1" x14ac:dyDescent="0.35"/>
    <row r="307" ht="12.75" customHeight="1" x14ac:dyDescent="0.35"/>
    <row r="308" ht="12.75" customHeight="1" x14ac:dyDescent="0.35"/>
    <row r="309" ht="12.75" customHeight="1" x14ac:dyDescent="0.35"/>
    <row r="310" ht="12.75" customHeight="1" x14ac:dyDescent="0.35"/>
    <row r="311" ht="12.75" customHeight="1" x14ac:dyDescent="0.35"/>
    <row r="312" ht="12.75" customHeight="1" x14ac:dyDescent="0.35"/>
    <row r="313" ht="12.75" customHeight="1" x14ac:dyDescent="0.35"/>
    <row r="314" ht="12.75" customHeight="1" x14ac:dyDescent="0.35"/>
    <row r="315" ht="12.75" customHeight="1" x14ac:dyDescent="0.35"/>
    <row r="316" ht="12.75" customHeight="1" x14ac:dyDescent="0.35"/>
    <row r="317" ht="12.75" customHeight="1" x14ac:dyDescent="0.35"/>
    <row r="318" ht="12.75" customHeight="1" x14ac:dyDescent="0.35"/>
    <row r="319" ht="12.75" customHeight="1" x14ac:dyDescent="0.35"/>
    <row r="320" ht="12.75" customHeight="1" x14ac:dyDescent="0.35"/>
    <row r="321" ht="12.75" customHeight="1" x14ac:dyDescent="0.35"/>
    <row r="322" ht="12.75" customHeight="1" x14ac:dyDescent="0.35"/>
    <row r="323" ht="12.75" customHeight="1" x14ac:dyDescent="0.35"/>
    <row r="324" ht="12.75" customHeight="1" x14ac:dyDescent="0.35"/>
    <row r="325" ht="12.75" customHeight="1" x14ac:dyDescent="0.35"/>
    <row r="326" ht="12.75" customHeight="1" x14ac:dyDescent="0.35"/>
    <row r="327" ht="12.75" customHeight="1" x14ac:dyDescent="0.35"/>
    <row r="328" ht="12.75" customHeight="1" x14ac:dyDescent="0.35"/>
    <row r="329" ht="12.75" customHeight="1" x14ac:dyDescent="0.35"/>
    <row r="330" ht="12.75" customHeight="1" x14ac:dyDescent="0.35"/>
    <row r="331" ht="12.75" customHeight="1" x14ac:dyDescent="0.35"/>
    <row r="332" ht="12.75" customHeight="1" x14ac:dyDescent="0.35"/>
    <row r="333" ht="12.75" customHeight="1" x14ac:dyDescent="0.35"/>
    <row r="334" ht="12.75" customHeight="1" x14ac:dyDescent="0.35"/>
    <row r="335" ht="12.75" customHeight="1" x14ac:dyDescent="0.35"/>
    <row r="336" ht="12.75" customHeight="1" x14ac:dyDescent="0.35"/>
    <row r="337" ht="12.75" customHeight="1" x14ac:dyDescent="0.35"/>
    <row r="338" ht="12.75" customHeight="1" x14ac:dyDescent="0.35"/>
    <row r="339" ht="12.75" customHeight="1" x14ac:dyDescent="0.35"/>
    <row r="340" ht="12.75" customHeight="1" x14ac:dyDescent="0.35"/>
    <row r="341" ht="12.75" customHeight="1" x14ac:dyDescent="0.35"/>
    <row r="342" ht="12.75" customHeight="1" x14ac:dyDescent="0.35"/>
    <row r="343" ht="12.75" customHeight="1" x14ac:dyDescent="0.35"/>
    <row r="344" ht="12.75" customHeight="1" x14ac:dyDescent="0.35"/>
    <row r="345" ht="12.75" customHeight="1" x14ac:dyDescent="0.35"/>
    <row r="346" ht="12.75" customHeight="1" x14ac:dyDescent="0.35"/>
    <row r="347" ht="12.75" customHeight="1" x14ac:dyDescent="0.35"/>
    <row r="348" ht="12.75" customHeight="1" x14ac:dyDescent="0.35"/>
    <row r="349" ht="12.75" customHeight="1" x14ac:dyDescent="0.35"/>
    <row r="350" ht="12.75" customHeight="1" x14ac:dyDescent="0.35"/>
    <row r="351" ht="12.75" customHeight="1" x14ac:dyDescent="0.35"/>
    <row r="352" ht="12.75" customHeight="1" x14ac:dyDescent="0.35"/>
    <row r="353" ht="12.75" customHeight="1" x14ac:dyDescent="0.35"/>
    <row r="354" ht="12.75" customHeight="1" x14ac:dyDescent="0.35"/>
    <row r="355" ht="12.75" customHeight="1" x14ac:dyDescent="0.35"/>
    <row r="356" ht="12.75" customHeight="1" x14ac:dyDescent="0.35"/>
    <row r="357" ht="12.75" customHeight="1" x14ac:dyDescent="0.35"/>
    <row r="358" ht="12.75" customHeight="1" x14ac:dyDescent="0.35"/>
    <row r="359" ht="12.75" customHeight="1" x14ac:dyDescent="0.35"/>
    <row r="360" ht="12.75" customHeight="1" x14ac:dyDescent="0.35"/>
    <row r="361" ht="12.75" customHeight="1" x14ac:dyDescent="0.35"/>
    <row r="362" ht="12.75" customHeight="1" x14ac:dyDescent="0.35"/>
    <row r="363" ht="12.75" customHeight="1" x14ac:dyDescent="0.35"/>
    <row r="364" ht="12.75" customHeight="1" x14ac:dyDescent="0.35"/>
    <row r="365" ht="12.75" customHeight="1" x14ac:dyDescent="0.35"/>
    <row r="366" ht="12.75" customHeight="1" x14ac:dyDescent="0.35"/>
    <row r="367" ht="12.75" customHeight="1" x14ac:dyDescent="0.35"/>
    <row r="368" ht="12.75" customHeight="1" x14ac:dyDescent="0.35"/>
    <row r="369" ht="12.75" customHeight="1" x14ac:dyDescent="0.35"/>
    <row r="370" ht="12.75" customHeight="1" x14ac:dyDescent="0.35"/>
    <row r="371" ht="12.75" customHeight="1" x14ac:dyDescent="0.35"/>
    <row r="372" ht="12.75" customHeight="1" x14ac:dyDescent="0.35"/>
    <row r="373" ht="12.75" customHeight="1" x14ac:dyDescent="0.35"/>
    <row r="374" ht="12.75" customHeight="1" x14ac:dyDescent="0.35"/>
    <row r="375" ht="12.75" customHeight="1" x14ac:dyDescent="0.35"/>
    <row r="376" ht="12.75" customHeight="1" x14ac:dyDescent="0.35"/>
    <row r="377" ht="12.75" customHeight="1" x14ac:dyDescent="0.35"/>
    <row r="378" ht="12.75" customHeight="1" x14ac:dyDescent="0.35"/>
    <row r="379" ht="12.75" customHeight="1" x14ac:dyDescent="0.35"/>
    <row r="380" ht="12.75" customHeight="1" x14ac:dyDescent="0.35"/>
    <row r="381" ht="12.75" customHeight="1" x14ac:dyDescent="0.35"/>
    <row r="382" ht="12.75" customHeight="1" x14ac:dyDescent="0.35"/>
    <row r="383" ht="12.75" customHeight="1" x14ac:dyDescent="0.35"/>
    <row r="384" ht="12.75" customHeight="1" x14ac:dyDescent="0.35"/>
    <row r="385" ht="12.75" customHeight="1" x14ac:dyDescent="0.35"/>
    <row r="386" ht="12.75" customHeight="1" x14ac:dyDescent="0.35"/>
    <row r="387" ht="12.75" customHeight="1" x14ac:dyDescent="0.35"/>
    <row r="388" ht="12.75" customHeight="1" x14ac:dyDescent="0.35"/>
    <row r="389" ht="12.75" customHeight="1" x14ac:dyDescent="0.35"/>
    <row r="390" ht="12.75" customHeight="1" x14ac:dyDescent="0.35"/>
    <row r="391" ht="12.75" customHeight="1" x14ac:dyDescent="0.35"/>
    <row r="392" ht="12.75" customHeight="1" x14ac:dyDescent="0.35"/>
    <row r="393" ht="12.75" customHeight="1" x14ac:dyDescent="0.35"/>
    <row r="394" ht="12.75" customHeight="1" x14ac:dyDescent="0.35"/>
    <row r="395" ht="12.75" customHeight="1" x14ac:dyDescent="0.35"/>
    <row r="396" ht="12.75" customHeight="1" x14ac:dyDescent="0.35"/>
    <row r="397" ht="12.75" customHeight="1" x14ac:dyDescent="0.35"/>
    <row r="398" ht="12.75" customHeight="1" x14ac:dyDescent="0.35"/>
    <row r="399" ht="12.75" customHeight="1" x14ac:dyDescent="0.35"/>
    <row r="400" ht="12.75" customHeight="1" x14ac:dyDescent="0.35"/>
    <row r="401" ht="12.75" customHeight="1" x14ac:dyDescent="0.35"/>
    <row r="402" ht="12.75" customHeight="1" x14ac:dyDescent="0.35"/>
    <row r="403" ht="12.75" customHeight="1" x14ac:dyDescent="0.35"/>
    <row r="404" ht="12.75" customHeight="1" x14ac:dyDescent="0.35"/>
    <row r="405" ht="12.75" customHeight="1" x14ac:dyDescent="0.35"/>
    <row r="406" ht="12.75" customHeight="1" x14ac:dyDescent="0.35"/>
    <row r="407" ht="12.75" customHeight="1" x14ac:dyDescent="0.35"/>
    <row r="408" ht="12.75" customHeight="1" x14ac:dyDescent="0.35"/>
    <row r="409" ht="12.75" customHeight="1" x14ac:dyDescent="0.35"/>
    <row r="410" ht="12.75" customHeight="1" x14ac:dyDescent="0.35"/>
    <row r="411" ht="12.75" customHeight="1" x14ac:dyDescent="0.35"/>
    <row r="412" ht="12.75" customHeight="1" x14ac:dyDescent="0.35"/>
    <row r="413" ht="12.75" customHeight="1" x14ac:dyDescent="0.35"/>
    <row r="414" ht="12.75" customHeight="1" x14ac:dyDescent="0.35"/>
    <row r="415" ht="12.75" customHeight="1" x14ac:dyDescent="0.35"/>
    <row r="416" ht="12.75" customHeight="1" x14ac:dyDescent="0.35"/>
    <row r="417" ht="12.75" customHeight="1" x14ac:dyDescent="0.35"/>
    <row r="418" ht="12.75" customHeight="1" x14ac:dyDescent="0.35"/>
    <row r="419" ht="12.75" customHeight="1" x14ac:dyDescent="0.35"/>
    <row r="420" ht="12.75" customHeight="1" x14ac:dyDescent="0.35"/>
    <row r="421" ht="12.75" customHeight="1" x14ac:dyDescent="0.35"/>
    <row r="422" ht="12.75" customHeight="1" x14ac:dyDescent="0.35"/>
    <row r="423" ht="12.75" customHeight="1" x14ac:dyDescent="0.35"/>
    <row r="424" ht="12.75" customHeight="1" x14ac:dyDescent="0.35"/>
    <row r="425" ht="12.75" customHeight="1" x14ac:dyDescent="0.35"/>
    <row r="426" ht="12.75" customHeight="1" x14ac:dyDescent="0.35"/>
    <row r="427" ht="12.75" customHeight="1" x14ac:dyDescent="0.35"/>
    <row r="428" ht="12.75" customHeight="1" x14ac:dyDescent="0.35"/>
    <row r="429" ht="12.75" customHeight="1" x14ac:dyDescent="0.35"/>
    <row r="430" ht="12.75" customHeight="1" x14ac:dyDescent="0.35"/>
    <row r="431" ht="12.75" customHeight="1" x14ac:dyDescent="0.35"/>
    <row r="432" ht="12.75" customHeight="1" x14ac:dyDescent="0.35"/>
    <row r="433" ht="12.75" customHeight="1" x14ac:dyDescent="0.35"/>
    <row r="434" ht="12.75" customHeight="1" x14ac:dyDescent="0.35"/>
    <row r="435" ht="12.75" customHeight="1" x14ac:dyDescent="0.35"/>
    <row r="436" ht="12.75" customHeight="1" x14ac:dyDescent="0.35"/>
    <row r="437" ht="12.75" customHeight="1" x14ac:dyDescent="0.35"/>
    <row r="438" ht="12.75" customHeight="1" x14ac:dyDescent="0.35"/>
    <row r="439" ht="12.75" customHeight="1" x14ac:dyDescent="0.35"/>
    <row r="440" ht="12.75" customHeight="1" x14ac:dyDescent="0.35"/>
    <row r="441" ht="12.75" customHeight="1" x14ac:dyDescent="0.35"/>
    <row r="442" ht="12.75" customHeight="1" x14ac:dyDescent="0.35"/>
    <row r="443" ht="12.75" customHeight="1" x14ac:dyDescent="0.35"/>
    <row r="444" ht="12.75" customHeight="1" x14ac:dyDescent="0.35"/>
    <row r="445" ht="12.75" customHeight="1" x14ac:dyDescent="0.35"/>
    <row r="446" ht="12.75" customHeight="1" x14ac:dyDescent="0.35"/>
    <row r="447" ht="12.75" customHeight="1" x14ac:dyDescent="0.35"/>
    <row r="448" ht="12.75" customHeight="1" x14ac:dyDescent="0.35"/>
    <row r="449" ht="12.75" customHeight="1" x14ac:dyDescent="0.35"/>
    <row r="450" ht="12.75" customHeight="1" x14ac:dyDescent="0.35"/>
    <row r="451" ht="12.75" customHeight="1" x14ac:dyDescent="0.35"/>
    <row r="452" ht="12.75" customHeight="1" x14ac:dyDescent="0.35"/>
    <row r="453" ht="12.75" customHeight="1" x14ac:dyDescent="0.35"/>
    <row r="454" ht="12.75" customHeight="1" x14ac:dyDescent="0.35"/>
    <row r="455" ht="12.75" customHeight="1" x14ac:dyDescent="0.35"/>
    <row r="456" ht="12.75" customHeight="1" x14ac:dyDescent="0.35"/>
    <row r="457" ht="12.75" customHeight="1" x14ac:dyDescent="0.35"/>
    <row r="458" ht="12.75" customHeight="1" x14ac:dyDescent="0.35"/>
    <row r="459" ht="12.75" customHeight="1" x14ac:dyDescent="0.35"/>
    <row r="460" ht="12.75" customHeight="1" x14ac:dyDescent="0.35"/>
    <row r="461" ht="12.75" customHeight="1" x14ac:dyDescent="0.35"/>
    <row r="462" ht="12.75" customHeight="1" x14ac:dyDescent="0.35"/>
    <row r="463" ht="12.75" customHeight="1" x14ac:dyDescent="0.35"/>
    <row r="464" ht="12.75" customHeight="1" x14ac:dyDescent="0.35"/>
    <row r="465" ht="12.75" customHeight="1" x14ac:dyDescent="0.35"/>
    <row r="466" ht="12.75" customHeight="1" x14ac:dyDescent="0.35"/>
    <row r="467" ht="12.75" customHeight="1" x14ac:dyDescent="0.35"/>
    <row r="468" ht="12.75" customHeight="1" x14ac:dyDescent="0.35"/>
    <row r="469" ht="12.75" customHeight="1" x14ac:dyDescent="0.35"/>
    <row r="470" ht="12.75" customHeight="1" x14ac:dyDescent="0.35"/>
    <row r="471" ht="12.75" customHeight="1" x14ac:dyDescent="0.35"/>
    <row r="472" ht="12.75" customHeight="1" x14ac:dyDescent="0.35"/>
    <row r="473" ht="12.75" customHeight="1" x14ac:dyDescent="0.35"/>
    <row r="474" ht="12.75" customHeight="1" x14ac:dyDescent="0.35"/>
    <row r="475" ht="12.75" customHeight="1" x14ac:dyDescent="0.35"/>
    <row r="476" ht="12.75" customHeight="1" x14ac:dyDescent="0.35"/>
    <row r="477" ht="12.75" customHeight="1" x14ac:dyDescent="0.35"/>
    <row r="478" ht="12.75" customHeight="1" x14ac:dyDescent="0.35"/>
    <row r="479" ht="12.75" customHeight="1" x14ac:dyDescent="0.35"/>
    <row r="480" ht="12.75" customHeight="1" x14ac:dyDescent="0.35"/>
    <row r="481" ht="12.75" customHeight="1" x14ac:dyDescent="0.35"/>
    <row r="482" ht="12.75" customHeight="1" x14ac:dyDescent="0.35"/>
    <row r="483" ht="12.75" customHeight="1" x14ac:dyDescent="0.35"/>
    <row r="484" ht="12.75" customHeight="1" x14ac:dyDescent="0.35"/>
    <row r="485" ht="12.75" customHeight="1" x14ac:dyDescent="0.35"/>
    <row r="486" ht="12.75" customHeight="1" x14ac:dyDescent="0.35"/>
    <row r="487" ht="12.75" customHeight="1" x14ac:dyDescent="0.35"/>
    <row r="488" ht="12.75" customHeight="1" x14ac:dyDescent="0.35"/>
    <row r="489" ht="12.75" customHeight="1" x14ac:dyDescent="0.35"/>
    <row r="490" ht="12.75" customHeight="1" x14ac:dyDescent="0.35"/>
    <row r="491" ht="12.75" customHeight="1" x14ac:dyDescent="0.35"/>
    <row r="492" ht="12.75" customHeight="1" x14ac:dyDescent="0.35"/>
    <row r="493" ht="12.75" customHeight="1" x14ac:dyDescent="0.35"/>
    <row r="494" ht="12.75" customHeight="1" x14ac:dyDescent="0.35"/>
    <row r="495" ht="12.75" customHeight="1" x14ac:dyDescent="0.35"/>
    <row r="496" ht="12.75" customHeight="1" x14ac:dyDescent="0.35"/>
    <row r="497" ht="12.75" customHeight="1" x14ac:dyDescent="0.35"/>
    <row r="498" ht="12.75" customHeight="1" x14ac:dyDescent="0.35"/>
    <row r="499" ht="12.75" customHeight="1" x14ac:dyDescent="0.35"/>
    <row r="500" ht="12.75" customHeight="1" x14ac:dyDescent="0.35"/>
    <row r="501" ht="12.75" customHeight="1" x14ac:dyDescent="0.35"/>
    <row r="502" ht="12.75" customHeight="1" x14ac:dyDescent="0.35"/>
    <row r="503" ht="12.75" customHeight="1" x14ac:dyDescent="0.35"/>
    <row r="504" ht="12.75" customHeight="1" x14ac:dyDescent="0.35"/>
    <row r="505" ht="12.75" customHeight="1" x14ac:dyDescent="0.35"/>
    <row r="506" ht="12.75" customHeight="1" x14ac:dyDescent="0.35"/>
    <row r="507" ht="12.75" customHeight="1" x14ac:dyDescent="0.35"/>
    <row r="508" ht="12.75" customHeight="1" x14ac:dyDescent="0.35"/>
    <row r="509" ht="12.75" customHeight="1" x14ac:dyDescent="0.35"/>
    <row r="510" ht="12.75" customHeight="1" x14ac:dyDescent="0.35"/>
    <row r="511" ht="12.75" customHeight="1" x14ac:dyDescent="0.35"/>
    <row r="512" ht="12.75" customHeight="1" x14ac:dyDescent="0.35"/>
    <row r="513" ht="12.75" customHeight="1" x14ac:dyDescent="0.35"/>
    <row r="514" ht="12.75" customHeight="1" x14ac:dyDescent="0.35"/>
    <row r="515" ht="12.75" customHeight="1" x14ac:dyDescent="0.35"/>
    <row r="516" ht="12.75" customHeight="1" x14ac:dyDescent="0.35"/>
    <row r="517" ht="12.75" customHeight="1" x14ac:dyDescent="0.35"/>
    <row r="518" ht="12.75" customHeight="1" x14ac:dyDescent="0.35"/>
    <row r="519" ht="12.75" customHeight="1" x14ac:dyDescent="0.35"/>
    <row r="520" ht="12.75" customHeight="1" x14ac:dyDescent="0.35"/>
    <row r="521" ht="12.75" customHeight="1" x14ac:dyDescent="0.35"/>
    <row r="522" ht="12.75" customHeight="1" x14ac:dyDescent="0.35"/>
    <row r="523" ht="12.75" customHeight="1" x14ac:dyDescent="0.35"/>
    <row r="524" ht="12.75" customHeight="1" x14ac:dyDescent="0.35"/>
    <row r="525" ht="12.75" customHeight="1" x14ac:dyDescent="0.35"/>
    <row r="526" ht="12.75" customHeight="1" x14ac:dyDescent="0.35"/>
    <row r="527" ht="12.75" customHeight="1" x14ac:dyDescent="0.35"/>
    <row r="528" ht="12.75" customHeight="1" x14ac:dyDescent="0.35"/>
    <row r="529" ht="12.75" customHeight="1" x14ac:dyDescent="0.35"/>
    <row r="530" ht="12.75" customHeight="1" x14ac:dyDescent="0.35"/>
    <row r="531" ht="12.75" customHeight="1" x14ac:dyDescent="0.35"/>
    <row r="532" ht="12.75" customHeight="1" x14ac:dyDescent="0.35"/>
    <row r="533" ht="12.75" customHeight="1" x14ac:dyDescent="0.35"/>
    <row r="534" ht="12.75" customHeight="1" x14ac:dyDescent="0.35"/>
    <row r="535" ht="12.75" customHeight="1" x14ac:dyDescent="0.35"/>
    <row r="536" ht="12.75" customHeight="1" x14ac:dyDescent="0.35"/>
    <row r="537" ht="12.75" customHeight="1" x14ac:dyDescent="0.35"/>
    <row r="538" ht="12.75" customHeight="1" x14ac:dyDescent="0.35"/>
    <row r="539" ht="12.75" customHeight="1" x14ac:dyDescent="0.35"/>
    <row r="540" ht="12.75" customHeight="1" x14ac:dyDescent="0.35"/>
    <row r="541" ht="12.75" customHeight="1" x14ac:dyDescent="0.35"/>
    <row r="542" ht="12.75" customHeight="1" x14ac:dyDescent="0.35"/>
    <row r="543" ht="12.75" customHeight="1" x14ac:dyDescent="0.35"/>
    <row r="544" ht="12.75" customHeight="1" x14ac:dyDescent="0.35"/>
    <row r="545" ht="12.75" customHeight="1" x14ac:dyDescent="0.35"/>
    <row r="546" ht="12.75" customHeight="1" x14ac:dyDescent="0.35"/>
    <row r="547" ht="12.75" customHeight="1" x14ac:dyDescent="0.35"/>
    <row r="548" ht="12.75" customHeight="1" x14ac:dyDescent="0.35"/>
    <row r="549" ht="12.75" customHeight="1" x14ac:dyDescent="0.35"/>
    <row r="550" ht="12.75" customHeight="1" x14ac:dyDescent="0.35"/>
    <row r="551" ht="12.75" customHeight="1" x14ac:dyDescent="0.35"/>
    <row r="552" ht="12.75" customHeight="1" x14ac:dyDescent="0.35"/>
    <row r="553" ht="12.75" customHeight="1" x14ac:dyDescent="0.35"/>
    <row r="554" ht="12.75" customHeight="1" x14ac:dyDescent="0.35"/>
    <row r="555" ht="12.75" customHeight="1" x14ac:dyDescent="0.35"/>
    <row r="556" ht="12.75" customHeight="1" x14ac:dyDescent="0.35"/>
    <row r="557" ht="12.75" customHeight="1" x14ac:dyDescent="0.35"/>
    <row r="558" ht="12.75" customHeight="1" x14ac:dyDescent="0.35"/>
    <row r="559" ht="12.75" customHeight="1" x14ac:dyDescent="0.35"/>
    <row r="560" ht="12.75" customHeight="1" x14ac:dyDescent="0.35"/>
    <row r="561" ht="12.75" customHeight="1" x14ac:dyDescent="0.35"/>
    <row r="562" ht="12.75" customHeight="1" x14ac:dyDescent="0.35"/>
    <row r="563" ht="12.75" customHeight="1" x14ac:dyDescent="0.35"/>
    <row r="564" ht="12.75" customHeight="1" x14ac:dyDescent="0.35"/>
    <row r="565" ht="12.75" customHeight="1" x14ac:dyDescent="0.35"/>
    <row r="566" ht="12.75" customHeight="1" x14ac:dyDescent="0.35"/>
    <row r="567" ht="12.75" customHeight="1" x14ac:dyDescent="0.35"/>
    <row r="568" ht="12.75" customHeight="1" x14ac:dyDescent="0.35"/>
    <row r="569" ht="12.75" customHeight="1" x14ac:dyDescent="0.35"/>
    <row r="570" ht="12.75" customHeight="1" x14ac:dyDescent="0.35"/>
    <row r="571" ht="12.75" customHeight="1" x14ac:dyDescent="0.35"/>
    <row r="572" ht="12.75" customHeight="1" x14ac:dyDescent="0.35"/>
    <row r="573" ht="12.75" customHeight="1" x14ac:dyDescent="0.35"/>
    <row r="574" ht="12.75" customHeight="1" x14ac:dyDescent="0.35"/>
    <row r="575" ht="12.75" customHeight="1" x14ac:dyDescent="0.35"/>
    <row r="576" ht="12.75" customHeight="1" x14ac:dyDescent="0.35"/>
    <row r="577" ht="12.75" customHeight="1" x14ac:dyDescent="0.35"/>
    <row r="578" ht="12.75" customHeight="1" x14ac:dyDescent="0.35"/>
    <row r="579" ht="12.75" customHeight="1" x14ac:dyDescent="0.35"/>
    <row r="580" ht="12.75" customHeight="1" x14ac:dyDescent="0.35"/>
    <row r="581" ht="12.75" customHeight="1" x14ac:dyDescent="0.35"/>
    <row r="582" ht="12.75" customHeight="1" x14ac:dyDescent="0.35"/>
    <row r="583" ht="12.75" customHeight="1" x14ac:dyDescent="0.35"/>
    <row r="584" ht="12.75" customHeight="1" x14ac:dyDescent="0.35"/>
    <row r="585" ht="12.75" customHeight="1" x14ac:dyDescent="0.35"/>
    <row r="586" ht="12.75" customHeight="1" x14ac:dyDescent="0.35"/>
    <row r="587" ht="12.75" customHeight="1" x14ac:dyDescent="0.35"/>
    <row r="588" ht="12.75" customHeight="1" x14ac:dyDescent="0.35"/>
    <row r="589" ht="12.75" customHeight="1" x14ac:dyDescent="0.35"/>
    <row r="590" ht="12.75" customHeight="1" x14ac:dyDescent="0.35"/>
    <row r="591" ht="12.75" customHeight="1" x14ac:dyDescent="0.35"/>
    <row r="592" ht="12.75" customHeight="1" x14ac:dyDescent="0.35"/>
    <row r="593" ht="12.75" customHeight="1" x14ac:dyDescent="0.35"/>
    <row r="594" ht="12.75" customHeight="1" x14ac:dyDescent="0.35"/>
    <row r="595" ht="12.75" customHeight="1" x14ac:dyDescent="0.35"/>
    <row r="596" ht="12.75" customHeight="1" x14ac:dyDescent="0.35"/>
    <row r="597" ht="12.75" customHeight="1" x14ac:dyDescent="0.35"/>
    <row r="598" ht="12.75" customHeight="1" x14ac:dyDescent="0.35"/>
    <row r="599" ht="12.75" customHeight="1" x14ac:dyDescent="0.35"/>
    <row r="600" ht="12.75" customHeight="1" x14ac:dyDescent="0.35"/>
    <row r="601" ht="12.75" customHeight="1" x14ac:dyDescent="0.35"/>
    <row r="602" ht="12.75" customHeight="1" x14ac:dyDescent="0.35"/>
    <row r="603" ht="12.75" customHeight="1" x14ac:dyDescent="0.35"/>
    <row r="604" ht="12.75" customHeight="1" x14ac:dyDescent="0.35"/>
    <row r="605" ht="12.75" customHeight="1" x14ac:dyDescent="0.35"/>
    <row r="606" ht="12.75" customHeight="1" x14ac:dyDescent="0.35"/>
    <row r="607" ht="12.75" customHeight="1" x14ac:dyDescent="0.35"/>
    <row r="608" ht="12.75" customHeight="1" x14ac:dyDescent="0.35"/>
    <row r="609" ht="12.75" customHeight="1" x14ac:dyDescent="0.35"/>
    <row r="610" ht="12.75" customHeight="1" x14ac:dyDescent="0.35"/>
    <row r="611" ht="12.75" customHeight="1" x14ac:dyDescent="0.35"/>
    <row r="612" ht="12.75" customHeight="1" x14ac:dyDescent="0.35"/>
    <row r="613" ht="12.75" customHeight="1" x14ac:dyDescent="0.35"/>
    <row r="614" ht="12.75" customHeight="1" x14ac:dyDescent="0.35"/>
    <row r="615" ht="12.75" customHeight="1" x14ac:dyDescent="0.35"/>
    <row r="616" ht="12.75" customHeight="1" x14ac:dyDescent="0.35"/>
    <row r="617" ht="12.75" customHeight="1" x14ac:dyDescent="0.35"/>
    <row r="618" ht="12.75" customHeight="1" x14ac:dyDescent="0.35"/>
    <row r="619" ht="12.75" customHeight="1" x14ac:dyDescent="0.35"/>
    <row r="620" ht="12.75" customHeight="1" x14ac:dyDescent="0.35"/>
    <row r="621" ht="12.75" customHeight="1" x14ac:dyDescent="0.35"/>
    <row r="622" ht="12.75" customHeight="1" x14ac:dyDescent="0.35"/>
    <row r="623" ht="12.75" customHeight="1" x14ac:dyDescent="0.35"/>
    <row r="624" ht="12.75" customHeight="1" x14ac:dyDescent="0.35"/>
    <row r="625" ht="12.75" customHeight="1" x14ac:dyDescent="0.35"/>
    <row r="626" ht="12.75" customHeight="1" x14ac:dyDescent="0.35"/>
    <row r="627" ht="12.75" customHeight="1" x14ac:dyDescent="0.35"/>
    <row r="628" ht="12.75" customHeight="1" x14ac:dyDescent="0.35"/>
    <row r="629" ht="12.75" customHeight="1" x14ac:dyDescent="0.35"/>
    <row r="630" ht="12.75" customHeight="1" x14ac:dyDescent="0.35"/>
    <row r="631" ht="12.75" customHeight="1" x14ac:dyDescent="0.35"/>
    <row r="632" ht="12.75" customHeight="1" x14ac:dyDescent="0.35"/>
    <row r="633" ht="12.75" customHeight="1" x14ac:dyDescent="0.35"/>
    <row r="634" ht="12.75" customHeight="1" x14ac:dyDescent="0.35"/>
    <row r="635" ht="12.75" customHeight="1" x14ac:dyDescent="0.35"/>
    <row r="636" ht="12.75" customHeight="1" x14ac:dyDescent="0.35"/>
    <row r="637" ht="12.75" customHeight="1" x14ac:dyDescent="0.35"/>
    <row r="638" ht="12.75" customHeight="1" x14ac:dyDescent="0.35"/>
    <row r="639" ht="12.75" customHeight="1" x14ac:dyDescent="0.35"/>
    <row r="640" ht="12.75" customHeight="1" x14ac:dyDescent="0.35"/>
    <row r="641" ht="12.75" customHeight="1" x14ac:dyDescent="0.35"/>
    <row r="642" ht="12.75" customHeight="1" x14ac:dyDescent="0.35"/>
    <row r="643" ht="12.75" customHeight="1" x14ac:dyDescent="0.35"/>
    <row r="644" ht="12.75" customHeight="1" x14ac:dyDescent="0.35"/>
    <row r="645" ht="12.75" customHeight="1" x14ac:dyDescent="0.35"/>
    <row r="646" ht="12.75" customHeight="1" x14ac:dyDescent="0.35"/>
    <row r="647" ht="12.75" customHeight="1" x14ac:dyDescent="0.35"/>
    <row r="648" ht="12.75" customHeight="1" x14ac:dyDescent="0.35"/>
    <row r="649" ht="12.75" customHeight="1" x14ac:dyDescent="0.35"/>
    <row r="650" ht="12.75" customHeight="1" x14ac:dyDescent="0.35"/>
    <row r="651" ht="12.75" customHeight="1" x14ac:dyDescent="0.35"/>
    <row r="652" ht="12.75" customHeight="1" x14ac:dyDescent="0.35"/>
    <row r="653" ht="12.75" customHeight="1" x14ac:dyDescent="0.35"/>
    <row r="654" ht="12.75" customHeight="1" x14ac:dyDescent="0.35"/>
    <row r="655" ht="12.75" customHeight="1" x14ac:dyDescent="0.35"/>
    <row r="656" ht="12.75" customHeight="1" x14ac:dyDescent="0.35"/>
    <row r="657" ht="12.75" customHeight="1" x14ac:dyDescent="0.35"/>
    <row r="658" ht="12.75" customHeight="1" x14ac:dyDescent="0.35"/>
    <row r="659" ht="12.75" customHeight="1" x14ac:dyDescent="0.35"/>
    <row r="660" ht="12.75" customHeight="1" x14ac:dyDescent="0.35"/>
    <row r="661" ht="12.75" customHeight="1" x14ac:dyDescent="0.35"/>
    <row r="662" ht="12.75" customHeight="1" x14ac:dyDescent="0.35"/>
    <row r="663" ht="12.75" customHeight="1" x14ac:dyDescent="0.35"/>
    <row r="664" ht="12.75" customHeight="1" x14ac:dyDescent="0.35"/>
    <row r="665" ht="12.75" customHeight="1" x14ac:dyDescent="0.35"/>
    <row r="666" ht="12.75" customHeight="1" x14ac:dyDescent="0.35"/>
    <row r="667" ht="12.75" customHeight="1" x14ac:dyDescent="0.35"/>
    <row r="668" ht="12.75" customHeight="1" x14ac:dyDescent="0.35"/>
    <row r="669" ht="12.75" customHeight="1" x14ac:dyDescent="0.35"/>
    <row r="670" ht="12.75" customHeight="1" x14ac:dyDescent="0.35"/>
    <row r="671" ht="12.75" customHeight="1" x14ac:dyDescent="0.35"/>
    <row r="672" ht="12.75" customHeight="1" x14ac:dyDescent="0.35"/>
    <row r="673" ht="12.75" customHeight="1" x14ac:dyDescent="0.35"/>
    <row r="674" ht="12.75" customHeight="1" x14ac:dyDescent="0.35"/>
    <row r="675" ht="12.75" customHeight="1" x14ac:dyDescent="0.35"/>
    <row r="676" ht="12.75" customHeight="1" x14ac:dyDescent="0.35"/>
    <row r="677" ht="12.75" customHeight="1" x14ac:dyDescent="0.35"/>
    <row r="678" ht="12.75" customHeight="1" x14ac:dyDescent="0.35"/>
    <row r="679" ht="12.75" customHeight="1" x14ac:dyDescent="0.35"/>
    <row r="680" ht="12.75" customHeight="1" x14ac:dyDescent="0.35"/>
    <row r="681" ht="12.75" customHeight="1" x14ac:dyDescent="0.35"/>
    <row r="682" ht="12.75" customHeight="1" x14ac:dyDescent="0.35"/>
    <row r="683" ht="12.75" customHeight="1" x14ac:dyDescent="0.35"/>
    <row r="684" ht="12.75" customHeight="1" x14ac:dyDescent="0.35"/>
    <row r="685" ht="12.75" customHeight="1" x14ac:dyDescent="0.35"/>
    <row r="686" ht="12.75" customHeight="1" x14ac:dyDescent="0.35"/>
    <row r="687" ht="12.75" customHeight="1" x14ac:dyDescent="0.35"/>
    <row r="688" ht="12.75" customHeight="1" x14ac:dyDescent="0.35"/>
    <row r="689" ht="12.75" customHeight="1" x14ac:dyDescent="0.35"/>
    <row r="690" ht="12.75" customHeight="1" x14ac:dyDescent="0.35"/>
    <row r="691" ht="12.75" customHeight="1" x14ac:dyDescent="0.35"/>
    <row r="692" ht="12.75" customHeight="1" x14ac:dyDescent="0.35"/>
    <row r="693" ht="12.75" customHeight="1" x14ac:dyDescent="0.35"/>
    <row r="694" ht="12.75" customHeight="1" x14ac:dyDescent="0.35"/>
    <row r="695" ht="12.75" customHeight="1" x14ac:dyDescent="0.35"/>
    <row r="696" ht="12.75" customHeight="1" x14ac:dyDescent="0.35"/>
    <row r="697" ht="12.75" customHeight="1" x14ac:dyDescent="0.35"/>
    <row r="698" ht="12.75" customHeight="1" x14ac:dyDescent="0.35"/>
    <row r="699" ht="12.75" customHeight="1" x14ac:dyDescent="0.35"/>
    <row r="700" ht="12.75" customHeight="1" x14ac:dyDescent="0.35"/>
    <row r="701" ht="12.75" customHeight="1" x14ac:dyDescent="0.35"/>
    <row r="702" ht="12.75" customHeight="1" x14ac:dyDescent="0.35"/>
    <row r="703" ht="12.75" customHeight="1" x14ac:dyDescent="0.35"/>
    <row r="704" ht="12.75" customHeight="1" x14ac:dyDescent="0.35"/>
    <row r="705" ht="12.75" customHeight="1" x14ac:dyDescent="0.35"/>
    <row r="706" ht="12.75" customHeight="1" x14ac:dyDescent="0.35"/>
    <row r="707" ht="12.75" customHeight="1" x14ac:dyDescent="0.35"/>
    <row r="708" ht="12.75" customHeight="1" x14ac:dyDescent="0.35"/>
    <row r="709" ht="12.75" customHeight="1" x14ac:dyDescent="0.35"/>
    <row r="710" ht="12.75" customHeight="1" x14ac:dyDescent="0.35"/>
    <row r="711" ht="12.75" customHeight="1" x14ac:dyDescent="0.35"/>
    <row r="712" ht="12.75" customHeight="1" x14ac:dyDescent="0.35"/>
    <row r="713" ht="12.75" customHeight="1" x14ac:dyDescent="0.35"/>
    <row r="714" ht="12.75" customHeight="1" x14ac:dyDescent="0.35"/>
    <row r="715" ht="12.75" customHeight="1" x14ac:dyDescent="0.35"/>
    <row r="716" ht="12.75" customHeight="1" x14ac:dyDescent="0.35"/>
    <row r="717" ht="12.75" customHeight="1" x14ac:dyDescent="0.35"/>
    <row r="718" ht="12.75" customHeight="1" x14ac:dyDescent="0.35"/>
    <row r="719" ht="12.75" customHeight="1" x14ac:dyDescent="0.35"/>
    <row r="720" ht="12.75" customHeight="1" x14ac:dyDescent="0.35"/>
    <row r="721" ht="12.75" customHeight="1" x14ac:dyDescent="0.35"/>
    <row r="722" ht="12.75" customHeight="1" x14ac:dyDescent="0.35"/>
    <row r="723" ht="12.75" customHeight="1" x14ac:dyDescent="0.35"/>
    <row r="724" ht="12.75" customHeight="1" x14ac:dyDescent="0.35"/>
    <row r="725" ht="12.75" customHeight="1" x14ac:dyDescent="0.35"/>
    <row r="726" ht="12.75" customHeight="1" x14ac:dyDescent="0.35"/>
    <row r="727" ht="12.75" customHeight="1" x14ac:dyDescent="0.35"/>
    <row r="728" ht="12.75" customHeight="1" x14ac:dyDescent="0.35"/>
    <row r="729" ht="12.75" customHeight="1" x14ac:dyDescent="0.35"/>
    <row r="730" ht="12.75" customHeight="1" x14ac:dyDescent="0.35"/>
    <row r="731" ht="12.75" customHeight="1" x14ac:dyDescent="0.35"/>
    <row r="732" ht="12.75" customHeight="1" x14ac:dyDescent="0.35"/>
    <row r="733" ht="12.75" customHeight="1" x14ac:dyDescent="0.35"/>
    <row r="734" ht="12.75" customHeight="1" x14ac:dyDescent="0.35"/>
    <row r="735" ht="12.75" customHeight="1" x14ac:dyDescent="0.35"/>
    <row r="736" ht="12.75" customHeight="1" x14ac:dyDescent="0.35"/>
    <row r="737" ht="12.75" customHeight="1" x14ac:dyDescent="0.35"/>
    <row r="738" ht="12.75" customHeight="1" x14ac:dyDescent="0.35"/>
    <row r="739" ht="12.75" customHeight="1" x14ac:dyDescent="0.35"/>
    <row r="740" ht="12.75" customHeight="1" x14ac:dyDescent="0.35"/>
    <row r="741" ht="12.75" customHeight="1" x14ac:dyDescent="0.35"/>
    <row r="742" ht="12.75" customHeight="1" x14ac:dyDescent="0.35"/>
    <row r="743" ht="12.75" customHeight="1" x14ac:dyDescent="0.35"/>
    <row r="744" ht="12.75" customHeight="1" x14ac:dyDescent="0.35"/>
    <row r="745" ht="12.75" customHeight="1" x14ac:dyDescent="0.35"/>
    <row r="746" ht="12.75" customHeight="1" x14ac:dyDescent="0.35"/>
    <row r="747" ht="12.75" customHeight="1" x14ac:dyDescent="0.35"/>
    <row r="748" ht="12.75" customHeight="1" x14ac:dyDescent="0.35"/>
    <row r="749" ht="12.75" customHeight="1" x14ac:dyDescent="0.35"/>
    <row r="750" ht="12.75" customHeight="1" x14ac:dyDescent="0.35"/>
    <row r="751" ht="12.75" customHeight="1" x14ac:dyDescent="0.35"/>
    <row r="752" ht="12.75" customHeight="1" x14ac:dyDescent="0.35"/>
    <row r="753" ht="12.75" customHeight="1" x14ac:dyDescent="0.35"/>
    <row r="754" ht="12.75" customHeight="1" x14ac:dyDescent="0.35"/>
    <row r="755" ht="12.75" customHeight="1" x14ac:dyDescent="0.35"/>
    <row r="756" ht="12.75" customHeight="1" x14ac:dyDescent="0.35"/>
    <row r="757" ht="12.75" customHeight="1" x14ac:dyDescent="0.35"/>
    <row r="758" ht="12.75" customHeight="1" x14ac:dyDescent="0.35"/>
    <row r="759" ht="12.75" customHeight="1" x14ac:dyDescent="0.35"/>
    <row r="760" ht="12.75" customHeight="1" x14ac:dyDescent="0.35"/>
    <row r="761" ht="12.75" customHeight="1" x14ac:dyDescent="0.35"/>
    <row r="762" ht="12.75" customHeight="1" x14ac:dyDescent="0.35"/>
    <row r="763" ht="12.75" customHeight="1" x14ac:dyDescent="0.35"/>
    <row r="764" ht="12.75" customHeight="1" x14ac:dyDescent="0.35"/>
    <row r="765" ht="12.75" customHeight="1" x14ac:dyDescent="0.35"/>
    <row r="766" ht="12.75" customHeight="1" x14ac:dyDescent="0.35"/>
    <row r="767" ht="12.75" customHeight="1" x14ac:dyDescent="0.35"/>
    <row r="768" ht="12.75" customHeight="1" x14ac:dyDescent="0.35"/>
    <row r="769" ht="12.75" customHeight="1" x14ac:dyDescent="0.35"/>
    <row r="770" ht="12.75" customHeight="1" x14ac:dyDescent="0.35"/>
    <row r="771" ht="12.75" customHeight="1" x14ac:dyDescent="0.35"/>
    <row r="772" ht="12.75" customHeight="1" x14ac:dyDescent="0.35"/>
    <row r="773" ht="12.75" customHeight="1" x14ac:dyDescent="0.35"/>
    <row r="774" ht="12.75" customHeight="1" x14ac:dyDescent="0.35"/>
    <row r="775" ht="12.75" customHeight="1" x14ac:dyDescent="0.35"/>
    <row r="776" ht="12.75" customHeight="1" x14ac:dyDescent="0.35"/>
    <row r="777" ht="12.75" customHeight="1" x14ac:dyDescent="0.35"/>
    <row r="778" ht="12.75" customHeight="1" x14ac:dyDescent="0.35"/>
    <row r="779" ht="12.75" customHeight="1" x14ac:dyDescent="0.35"/>
    <row r="780" ht="12.75" customHeight="1" x14ac:dyDescent="0.35"/>
    <row r="781" ht="12.75" customHeight="1" x14ac:dyDescent="0.35"/>
    <row r="782" ht="12.75" customHeight="1" x14ac:dyDescent="0.35"/>
    <row r="783" ht="12.75" customHeight="1" x14ac:dyDescent="0.35"/>
    <row r="784" ht="12.75" customHeight="1" x14ac:dyDescent="0.35"/>
    <row r="785" ht="12.75" customHeight="1" x14ac:dyDescent="0.35"/>
    <row r="786" ht="12.75" customHeight="1" x14ac:dyDescent="0.35"/>
    <row r="787" ht="12.75" customHeight="1" x14ac:dyDescent="0.35"/>
    <row r="788" ht="12.75" customHeight="1" x14ac:dyDescent="0.35"/>
    <row r="789" ht="12.75" customHeight="1" x14ac:dyDescent="0.35"/>
    <row r="790" ht="12.75" customHeight="1" x14ac:dyDescent="0.35"/>
    <row r="791" ht="12.75" customHeight="1" x14ac:dyDescent="0.35"/>
    <row r="792" ht="12.75" customHeight="1" x14ac:dyDescent="0.35"/>
    <row r="793" ht="12.75" customHeight="1" x14ac:dyDescent="0.35"/>
    <row r="794" ht="12.75" customHeight="1" x14ac:dyDescent="0.35"/>
    <row r="795" ht="12.75" customHeight="1" x14ac:dyDescent="0.35"/>
    <row r="796" ht="12.75" customHeight="1" x14ac:dyDescent="0.35"/>
    <row r="797" ht="12.75" customHeight="1" x14ac:dyDescent="0.35"/>
    <row r="798" ht="12.75" customHeight="1" x14ac:dyDescent="0.35"/>
    <row r="799" ht="12.75" customHeight="1" x14ac:dyDescent="0.35"/>
    <row r="800" ht="12.75" customHeight="1" x14ac:dyDescent="0.35"/>
    <row r="801" ht="12.75" customHeight="1" x14ac:dyDescent="0.35"/>
    <row r="802" ht="12.75" customHeight="1" x14ac:dyDescent="0.35"/>
    <row r="803" ht="12.75" customHeight="1" x14ac:dyDescent="0.35"/>
    <row r="804" ht="12.75" customHeight="1" x14ac:dyDescent="0.35"/>
    <row r="805" ht="12.75" customHeight="1" x14ac:dyDescent="0.35"/>
    <row r="806" ht="12.75" customHeight="1" x14ac:dyDescent="0.35"/>
    <row r="807" ht="12.75" customHeight="1" x14ac:dyDescent="0.35"/>
    <row r="808" ht="12.75" customHeight="1" x14ac:dyDescent="0.35"/>
    <row r="809" ht="12.75" customHeight="1" x14ac:dyDescent="0.35"/>
    <row r="810" ht="12.75" customHeight="1" x14ac:dyDescent="0.35"/>
    <row r="811" ht="12.75" customHeight="1" x14ac:dyDescent="0.35"/>
    <row r="812" ht="12.75" customHeight="1" x14ac:dyDescent="0.35"/>
    <row r="813" ht="12.75" customHeight="1" x14ac:dyDescent="0.35"/>
    <row r="814" ht="12.75" customHeight="1" x14ac:dyDescent="0.35"/>
    <row r="815" ht="12.75" customHeight="1" x14ac:dyDescent="0.35"/>
    <row r="816" ht="12.75" customHeight="1" x14ac:dyDescent="0.35"/>
    <row r="817" ht="12.75" customHeight="1" x14ac:dyDescent="0.35"/>
    <row r="818" ht="12.75" customHeight="1" x14ac:dyDescent="0.35"/>
    <row r="819" ht="12.75" customHeight="1" x14ac:dyDescent="0.35"/>
    <row r="820" ht="12.75" customHeight="1" x14ac:dyDescent="0.35"/>
    <row r="821" ht="12.75" customHeight="1" x14ac:dyDescent="0.35"/>
    <row r="822" ht="12.75" customHeight="1" x14ac:dyDescent="0.35"/>
    <row r="823" ht="12.75" customHeight="1" x14ac:dyDescent="0.35"/>
    <row r="824" ht="12.75" customHeight="1" x14ac:dyDescent="0.35"/>
    <row r="825" ht="12.75" customHeight="1" x14ac:dyDescent="0.35"/>
    <row r="826" ht="12.75" customHeight="1" x14ac:dyDescent="0.35"/>
    <row r="827" ht="12.75" customHeight="1" x14ac:dyDescent="0.35"/>
    <row r="828" ht="12.75" customHeight="1" x14ac:dyDescent="0.35"/>
    <row r="829" ht="12.75" customHeight="1" x14ac:dyDescent="0.35"/>
    <row r="830" ht="12.75" customHeight="1" x14ac:dyDescent="0.35"/>
    <row r="831" ht="12.75" customHeight="1" x14ac:dyDescent="0.35"/>
    <row r="832" ht="12.75" customHeight="1" x14ac:dyDescent="0.35"/>
    <row r="833" ht="12.75" customHeight="1" x14ac:dyDescent="0.35"/>
    <row r="834" ht="12.75" customHeight="1" x14ac:dyDescent="0.35"/>
    <row r="835" ht="12.75" customHeight="1" x14ac:dyDescent="0.35"/>
    <row r="836" ht="12.75" customHeight="1" x14ac:dyDescent="0.35"/>
    <row r="837" ht="12.75" customHeight="1" x14ac:dyDescent="0.35"/>
    <row r="838" ht="12.75" customHeight="1" x14ac:dyDescent="0.35"/>
    <row r="839" ht="12.75" customHeight="1" x14ac:dyDescent="0.35"/>
    <row r="840" ht="12.75" customHeight="1" x14ac:dyDescent="0.35"/>
    <row r="841" ht="12.75" customHeight="1" x14ac:dyDescent="0.35"/>
    <row r="842" ht="12.75" customHeight="1" x14ac:dyDescent="0.35"/>
    <row r="843" ht="12.75" customHeight="1" x14ac:dyDescent="0.35"/>
    <row r="844" ht="12.75" customHeight="1" x14ac:dyDescent="0.35"/>
    <row r="845" ht="12.75" customHeight="1" x14ac:dyDescent="0.35"/>
    <row r="846" ht="12.75" customHeight="1" x14ac:dyDescent="0.35"/>
    <row r="847" ht="12.75" customHeight="1" x14ac:dyDescent="0.35"/>
    <row r="848" ht="12.75" customHeight="1" x14ac:dyDescent="0.35"/>
    <row r="849" ht="12.75" customHeight="1" x14ac:dyDescent="0.35"/>
    <row r="850" ht="12.75" customHeight="1" x14ac:dyDescent="0.35"/>
    <row r="851" ht="12.75" customHeight="1" x14ac:dyDescent="0.35"/>
    <row r="852" ht="12.75" customHeight="1" x14ac:dyDescent="0.35"/>
    <row r="853" ht="12.75" customHeight="1" x14ac:dyDescent="0.35"/>
    <row r="854" ht="12.75" customHeight="1" x14ac:dyDescent="0.35"/>
    <row r="855" ht="12.75" customHeight="1" x14ac:dyDescent="0.35"/>
    <row r="856" ht="12.75" customHeight="1" x14ac:dyDescent="0.35"/>
    <row r="857" ht="12.75" customHeight="1" x14ac:dyDescent="0.35"/>
    <row r="858" ht="12.75" customHeight="1" x14ac:dyDescent="0.35"/>
    <row r="859" ht="12.75" customHeight="1" x14ac:dyDescent="0.35"/>
    <row r="860" ht="12.75" customHeight="1" x14ac:dyDescent="0.35"/>
    <row r="861" ht="12.75" customHeight="1" x14ac:dyDescent="0.35"/>
    <row r="862" ht="12.75" customHeight="1" x14ac:dyDescent="0.35"/>
    <row r="863" ht="12.75" customHeight="1" x14ac:dyDescent="0.35"/>
    <row r="864" ht="12.75" customHeight="1" x14ac:dyDescent="0.35"/>
    <row r="865" ht="12.75" customHeight="1" x14ac:dyDescent="0.35"/>
    <row r="866" ht="12.75" customHeight="1" x14ac:dyDescent="0.35"/>
    <row r="867" ht="12.75" customHeight="1" x14ac:dyDescent="0.35"/>
    <row r="868" ht="12.75" customHeight="1" x14ac:dyDescent="0.35"/>
    <row r="869" ht="12.75" customHeight="1" x14ac:dyDescent="0.35"/>
    <row r="870" ht="12.75" customHeight="1" x14ac:dyDescent="0.35"/>
    <row r="871" ht="12.75" customHeight="1" x14ac:dyDescent="0.35"/>
    <row r="872" ht="12.75" customHeight="1" x14ac:dyDescent="0.35"/>
    <row r="873" ht="12.75" customHeight="1" x14ac:dyDescent="0.35"/>
    <row r="874" ht="12.75" customHeight="1" x14ac:dyDescent="0.35"/>
    <row r="875" ht="12.75" customHeight="1" x14ac:dyDescent="0.35"/>
    <row r="876" ht="12.75" customHeight="1" x14ac:dyDescent="0.35"/>
    <row r="877" ht="12.75" customHeight="1" x14ac:dyDescent="0.35"/>
    <row r="878" ht="12.75" customHeight="1" x14ac:dyDescent="0.35"/>
    <row r="879" ht="12.75" customHeight="1" x14ac:dyDescent="0.35"/>
    <row r="880" ht="12.75" customHeight="1" x14ac:dyDescent="0.35"/>
    <row r="881" ht="12.75" customHeight="1" x14ac:dyDescent="0.35"/>
    <row r="882" ht="12.75" customHeight="1" x14ac:dyDescent="0.35"/>
    <row r="883" ht="12.75" customHeight="1" x14ac:dyDescent="0.35"/>
    <row r="884" ht="12.75" customHeight="1" x14ac:dyDescent="0.35"/>
    <row r="885" ht="12.75" customHeight="1" x14ac:dyDescent="0.35"/>
    <row r="886" ht="12.75" customHeight="1" x14ac:dyDescent="0.35"/>
    <row r="887" ht="12.75" customHeight="1" x14ac:dyDescent="0.35"/>
    <row r="888" ht="12.75" customHeight="1" x14ac:dyDescent="0.35"/>
    <row r="889" ht="12.75" customHeight="1" x14ac:dyDescent="0.35"/>
    <row r="890" ht="12.75" customHeight="1" x14ac:dyDescent="0.35"/>
    <row r="891" ht="12.75" customHeight="1" x14ac:dyDescent="0.35"/>
    <row r="892" ht="12.75" customHeight="1" x14ac:dyDescent="0.35"/>
    <row r="893" ht="12.75" customHeight="1" x14ac:dyDescent="0.35"/>
    <row r="894" ht="12.75" customHeight="1" x14ac:dyDescent="0.35"/>
    <row r="895" ht="12.75" customHeight="1" x14ac:dyDescent="0.35"/>
    <row r="896" ht="12.75" customHeight="1" x14ac:dyDescent="0.35"/>
    <row r="897" ht="12.75" customHeight="1" x14ac:dyDescent="0.35"/>
    <row r="898" ht="12.75" customHeight="1" x14ac:dyDescent="0.35"/>
    <row r="899" ht="12.75" customHeight="1" x14ac:dyDescent="0.35"/>
    <row r="900" ht="12.75" customHeight="1" x14ac:dyDescent="0.35"/>
    <row r="901" ht="12.75" customHeight="1" x14ac:dyDescent="0.35"/>
    <row r="902" ht="12.75" customHeight="1" x14ac:dyDescent="0.35"/>
    <row r="903" ht="12.75" customHeight="1" x14ac:dyDescent="0.35"/>
    <row r="904" ht="12.75" customHeight="1" x14ac:dyDescent="0.35"/>
    <row r="905" ht="12.75" customHeight="1" x14ac:dyDescent="0.35"/>
    <row r="906" ht="12.75" customHeight="1" x14ac:dyDescent="0.35"/>
    <row r="907" ht="12.75" customHeight="1" x14ac:dyDescent="0.35"/>
    <row r="908" ht="12.75" customHeight="1" x14ac:dyDescent="0.35"/>
    <row r="909" ht="12.75" customHeight="1" x14ac:dyDescent="0.35"/>
    <row r="910" ht="12.75" customHeight="1" x14ac:dyDescent="0.35"/>
    <row r="911" ht="12.75" customHeight="1" x14ac:dyDescent="0.35"/>
    <row r="912" ht="12.75" customHeight="1" x14ac:dyDescent="0.35"/>
    <row r="913" ht="12.75" customHeight="1" x14ac:dyDescent="0.35"/>
    <row r="914" ht="12.75" customHeight="1" x14ac:dyDescent="0.35"/>
    <row r="915" ht="12.75" customHeight="1" x14ac:dyDescent="0.35"/>
    <row r="916" ht="12.75" customHeight="1" x14ac:dyDescent="0.35"/>
    <row r="917" ht="12.75" customHeight="1" x14ac:dyDescent="0.35"/>
    <row r="918" ht="12.75" customHeight="1" x14ac:dyDescent="0.35"/>
    <row r="919" ht="12.75" customHeight="1" x14ac:dyDescent="0.35"/>
    <row r="920" ht="12.75" customHeight="1" x14ac:dyDescent="0.35"/>
    <row r="921" ht="12.75" customHeight="1" x14ac:dyDescent="0.35"/>
    <row r="922" ht="12.75" customHeight="1" x14ac:dyDescent="0.35"/>
    <row r="923" ht="12.75" customHeight="1" x14ac:dyDescent="0.35"/>
    <row r="924" ht="12.75" customHeight="1" x14ac:dyDescent="0.35"/>
    <row r="925" ht="12.75" customHeight="1" x14ac:dyDescent="0.35"/>
    <row r="926" ht="12.75" customHeight="1" x14ac:dyDescent="0.35"/>
    <row r="927" ht="12.75" customHeight="1" x14ac:dyDescent="0.35"/>
    <row r="928" ht="12.75" customHeight="1" x14ac:dyDescent="0.35"/>
    <row r="929" ht="12.75" customHeight="1" x14ac:dyDescent="0.35"/>
    <row r="930" ht="12.75" customHeight="1" x14ac:dyDescent="0.35"/>
    <row r="931" ht="12.75" customHeight="1" x14ac:dyDescent="0.35"/>
    <row r="932" ht="12.75" customHeight="1" x14ac:dyDescent="0.35"/>
    <row r="933" ht="12.75" customHeight="1" x14ac:dyDescent="0.35"/>
    <row r="934" ht="12.75" customHeight="1" x14ac:dyDescent="0.35"/>
    <row r="935" ht="12.75" customHeight="1" x14ac:dyDescent="0.35"/>
    <row r="936" ht="12.75" customHeight="1" x14ac:dyDescent="0.35"/>
    <row r="937" ht="12.75" customHeight="1" x14ac:dyDescent="0.35"/>
    <row r="938" ht="12.75" customHeight="1" x14ac:dyDescent="0.35"/>
    <row r="939" ht="12.75" customHeight="1" x14ac:dyDescent="0.35"/>
    <row r="940" ht="12.75" customHeight="1" x14ac:dyDescent="0.35"/>
    <row r="941" ht="12.75" customHeight="1" x14ac:dyDescent="0.35"/>
    <row r="942" ht="12.75" customHeight="1" x14ac:dyDescent="0.35"/>
    <row r="943" ht="12.75" customHeight="1" x14ac:dyDescent="0.35"/>
    <row r="944" ht="12.75" customHeight="1" x14ac:dyDescent="0.35"/>
    <row r="945" ht="12.75" customHeight="1" x14ac:dyDescent="0.35"/>
    <row r="946" ht="12.75" customHeight="1" x14ac:dyDescent="0.35"/>
    <row r="947" ht="12.75" customHeight="1" x14ac:dyDescent="0.35"/>
    <row r="948" ht="12.75" customHeight="1" x14ac:dyDescent="0.35"/>
    <row r="949" ht="12.75" customHeight="1" x14ac:dyDescent="0.35"/>
    <row r="950" ht="12.75" customHeight="1" x14ac:dyDescent="0.35"/>
    <row r="951" ht="12.75" customHeight="1" x14ac:dyDescent="0.35"/>
    <row r="952" ht="12.75" customHeight="1" x14ac:dyDescent="0.35"/>
    <row r="953" ht="12.75" customHeight="1" x14ac:dyDescent="0.35"/>
    <row r="954" ht="12.75" customHeight="1" x14ac:dyDescent="0.35"/>
    <row r="955" ht="12.75" customHeight="1" x14ac:dyDescent="0.35"/>
    <row r="956" ht="12.75" customHeight="1" x14ac:dyDescent="0.35"/>
    <row r="957" ht="12.75" customHeight="1" x14ac:dyDescent="0.35"/>
    <row r="958" ht="12.75" customHeight="1" x14ac:dyDescent="0.35"/>
    <row r="959" ht="12.75" customHeight="1" x14ac:dyDescent="0.35"/>
    <row r="960" ht="12.75" customHeight="1" x14ac:dyDescent="0.35"/>
    <row r="961" ht="12.75" customHeight="1" x14ac:dyDescent="0.35"/>
    <row r="962" ht="12.75" customHeight="1" x14ac:dyDescent="0.35"/>
    <row r="963" ht="12.75" customHeight="1" x14ac:dyDescent="0.35"/>
    <row r="964" ht="12.75" customHeight="1" x14ac:dyDescent="0.35"/>
    <row r="965" ht="12.75" customHeight="1" x14ac:dyDescent="0.35"/>
    <row r="966" ht="12.75" customHeight="1" x14ac:dyDescent="0.35"/>
    <row r="967" ht="12.75" customHeight="1" x14ac:dyDescent="0.35"/>
    <row r="968" ht="12.75" customHeight="1" x14ac:dyDescent="0.35"/>
    <row r="969" ht="12.75" customHeight="1" x14ac:dyDescent="0.35"/>
    <row r="970" ht="12.75" customHeight="1" x14ac:dyDescent="0.35"/>
    <row r="971" ht="12.75" customHeight="1" x14ac:dyDescent="0.35"/>
    <row r="972" ht="12.75" customHeight="1" x14ac:dyDescent="0.35"/>
    <row r="973" ht="12.75" customHeight="1" x14ac:dyDescent="0.35"/>
    <row r="974" ht="12.75" customHeight="1" x14ac:dyDescent="0.35"/>
    <row r="975" ht="12.75" customHeight="1" x14ac:dyDescent="0.35"/>
    <row r="976" ht="12.75" customHeight="1" x14ac:dyDescent="0.35"/>
    <row r="977" ht="12.75" customHeight="1" x14ac:dyDescent="0.35"/>
    <row r="978" ht="12.75" customHeight="1" x14ac:dyDescent="0.35"/>
    <row r="979" ht="12.75" customHeight="1" x14ac:dyDescent="0.35"/>
    <row r="980" ht="12.75" customHeight="1" x14ac:dyDescent="0.35"/>
    <row r="981" ht="12.75" customHeight="1" x14ac:dyDescent="0.35"/>
    <row r="982" ht="12.75" customHeight="1" x14ac:dyDescent="0.35"/>
    <row r="983" ht="12.75" customHeight="1" x14ac:dyDescent="0.35"/>
    <row r="984" ht="12.75" customHeight="1" x14ac:dyDescent="0.35"/>
    <row r="985" ht="12.75" customHeight="1" x14ac:dyDescent="0.35"/>
    <row r="986" ht="12.75" customHeight="1" x14ac:dyDescent="0.35"/>
    <row r="987" ht="12.75" customHeight="1" x14ac:dyDescent="0.35"/>
    <row r="988" ht="12.75" customHeight="1" x14ac:dyDescent="0.35"/>
    <row r="989" ht="12.75" customHeight="1" x14ac:dyDescent="0.35"/>
    <row r="990" ht="12.75" customHeight="1" x14ac:dyDescent="0.35"/>
    <row r="991" ht="12.75" customHeight="1" x14ac:dyDescent="0.35"/>
    <row r="992" ht="12.75" customHeight="1" x14ac:dyDescent="0.35"/>
    <row r="993" ht="12.75" customHeight="1" x14ac:dyDescent="0.35"/>
    <row r="994" ht="12.75" customHeight="1" x14ac:dyDescent="0.35"/>
    <row r="995" ht="12.75" customHeight="1" x14ac:dyDescent="0.35"/>
    <row r="996" ht="12.75" customHeight="1" x14ac:dyDescent="0.35"/>
    <row r="997" ht="12.75" customHeight="1" x14ac:dyDescent="0.35"/>
    <row r="998" ht="12.75" customHeight="1" x14ac:dyDescent="0.35"/>
    <row r="999" ht="12.75" customHeight="1" x14ac:dyDescent="0.35"/>
    <row r="1000" ht="12.75" customHeight="1" x14ac:dyDescent="0.3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heetViews>
  <sheetFormatPr baseColWidth="10" defaultColWidth="14.453125" defaultRowHeight="15" customHeight="1" x14ac:dyDescent="0.35"/>
  <cols>
    <col min="1" max="1" width="15.54296875" customWidth="1"/>
    <col min="2" max="2" width="23.08984375" customWidth="1"/>
    <col min="3" max="3" width="218.54296875" customWidth="1"/>
    <col min="4" max="4" width="52.26953125" customWidth="1"/>
    <col min="5" max="26" width="8" customWidth="1"/>
  </cols>
  <sheetData>
    <row r="1" spans="1:4" ht="12.75" customHeight="1" x14ac:dyDescent="0.35">
      <c r="A1" s="6" t="s">
        <v>626</v>
      </c>
      <c r="B1" s="6" t="s">
        <v>627</v>
      </c>
      <c r="C1" s="6" t="s">
        <v>628</v>
      </c>
      <c r="D1" s="6" t="s">
        <v>629</v>
      </c>
    </row>
    <row r="2" spans="1:4" ht="12.75" customHeight="1" x14ac:dyDescent="0.35">
      <c r="A2" s="6" t="s">
        <v>630</v>
      </c>
      <c r="B2" s="6" t="s">
        <v>631</v>
      </c>
      <c r="C2" s="6" t="s">
        <v>632</v>
      </c>
      <c r="D2" s="6" t="s">
        <v>633</v>
      </c>
    </row>
    <row r="3" spans="1:4" ht="12.75" customHeight="1" x14ac:dyDescent="0.35"/>
    <row r="4" spans="1:4" ht="12.75" customHeight="1" x14ac:dyDescent="0.35"/>
    <row r="5" spans="1:4" ht="12.75" customHeight="1" x14ac:dyDescent="0.35"/>
    <row r="6" spans="1:4" ht="12.75" customHeight="1" x14ac:dyDescent="0.35"/>
    <row r="7" spans="1:4" ht="12.75" customHeight="1" x14ac:dyDescent="0.35"/>
    <row r="8" spans="1:4" ht="12.75" customHeight="1" x14ac:dyDescent="0.35"/>
    <row r="9" spans="1:4" ht="12.75" customHeight="1" x14ac:dyDescent="0.35"/>
    <row r="10" spans="1:4" ht="12.75" customHeight="1" x14ac:dyDescent="0.35"/>
    <row r="11" spans="1:4" ht="12.75" customHeight="1" x14ac:dyDescent="0.35"/>
    <row r="12" spans="1:4" ht="12.75" customHeight="1" x14ac:dyDescent="0.35"/>
    <row r="13" spans="1:4" ht="12.75" customHeight="1" x14ac:dyDescent="0.35"/>
    <row r="14" spans="1:4" ht="12.75" customHeight="1" x14ac:dyDescent="0.35"/>
    <row r="15" spans="1:4" ht="12.75" customHeight="1" x14ac:dyDescent="0.35"/>
    <row r="16" spans="1:4" ht="12.75" customHeight="1" x14ac:dyDescent="0.35"/>
    <row r="17" ht="12.75" customHeight="1" x14ac:dyDescent="0.35"/>
    <row r="18" ht="12.75" customHeight="1" x14ac:dyDescent="0.35"/>
    <row r="19" ht="12.75" customHeight="1" x14ac:dyDescent="0.35"/>
    <row r="20" ht="12.75" customHeight="1" x14ac:dyDescent="0.35"/>
    <row r="21" ht="12.75" customHeight="1" x14ac:dyDescent="0.35"/>
    <row r="22" ht="12.75" customHeight="1" x14ac:dyDescent="0.35"/>
    <row r="23" ht="12.75" customHeight="1" x14ac:dyDescent="0.35"/>
    <row r="24" ht="12.75" customHeight="1" x14ac:dyDescent="0.35"/>
    <row r="25" ht="12.75" customHeight="1" x14ac:dyDescent="0.35"/>
    <row r="26" ht="12.75" customHeight="1" x14ac:dyDescent="0.35"/>
    <row r="27" ht="12.75" customHeight="1" x14ac:dyDescent="0.35"/>
    <row r="28" ht="12.75" customHeight="1" x14ac:dyDescent="0.35"/>
    <row r="29" ht="12.75" customHeight="1" x14ac:dyDescent="0.35"/>
    <row r="30" ht="12.75" customHeight="1" x14ac:dyDescent="0.35"/>
    <row r="31" ht="12.75" customHeight="1" x14ac:dyDescent="0.35"/>
    <row r="32" ht="12.75" customHeight="1" x14ac:dyDescent="0.35"/>
    <row r="33" ht="12.75" customHeight="1" x14ac:dyDescent="0.35"/>
    <row r="34" ht="12.75" customHeight="1" x14ac:dyDescent="0.35"/>
    <row r="35" ht="12.75" customHeight="1" x14ac:dyDescent="0.35"/>
    <row r="36" ht="12.75" customHeight="1" x14ac:dyDescent="0.35"/>
    <row r="37" ht="12.75" customHeight="1" x14ac:dyDescent="0.35"/>
    <row r="38" ht="12.75" customHeight="1" x14ac:dyDescent="0.35"/>
    <row r="39" ht="12.75" customHeight="1" x14ac:dyDescent="0.35"/>
    <row r="40" ht="12.75" customHeight="1" x14ac:dyDescent="0.35"/>
    <row r="41" ht="12.75" customHeight="1" x14ac:dyDescent="0.35"/>
    <row r="42" ht="12.75" customHeight="1" x14ac:dyDescent="0.35"/>
    <row r="43" ht="12.75" customHeight="1" x14ac:dyDescent="0.35"/>
    <row r="44" ht="12.75" customHeight="1" x14ac:dyDescent="0.35"/>
    <row r="45" ht="12.75" customHeight="1" x14ac:dyDescent="0.35"/>
    <row r="46" ht="12.75" customHeight="1" x14ac:dyDescent="0.35"/>
    <row r="47" ht="12.75" customHeight="1" x14ac:dyDescent="0.35"/>
    <row r="48" ht="12.75" customHeight="1" x14ac:dyDescent="0.35"/>
    <row r="49" ht="12.75" customHeight="1" x14ac:dyDescent="0.35"/>
    <row r="50" ht="12.75" customHeight="1" x14ac:dyDescent="0.35"/>
    <row r="51" ht="12.75" customHeight="1" x14ac:dyDescent="0.35"/>
    <row r="52" ht="12.75" customHeight="1" x14ac:dyDescent="0.35"/>
    <row r="53" ht="12.75" customHeight="1" x14ac:dyDescent="0.35"/>
    <row r="54" ht="12.75" customHeight="1" x14ac:dyDescent="0.35"/>
    <row r="55" ht="12.75" customHeight="1" x14ac:dyDescent="0.35"/>
    <row r="56" ht="12.75" customHeight="1" x14ac:dyDescent="0.35"/>
    <row r="57" ht="12.75" customHeight="1" x14ac:dyDescent="0.35"/>
    <row r="58" ht="12.75" customHeight="1" x14ac:dyDescent="0.35"/>
    <row r="59" ht="12.75" customHeight="1" x14ac:dyDescent="0.35"/>
    <row r="60" ht="12.75" customHeight="1" x14ac:dyDescent="0.35"/>
    <row r="61" ht="12.75" customHeight="1" x14ac:dyDescent="0.35"/>
    <row r="62" ht="12.75" customHeight="1" x14ac:dyDescent="0.35"/>
    <row r="63" ht="12.75" customHeight="1" x14ac:dyDescent="0.35"/>
    <row r="64" ht="12.75" customHeight="1" x14ac:dyDescent="0.35"/>
    <row r="65" ht="12.75" customHeight="1" x14ac:dyDescent="0.35"/>
    <row r="66" ht="12.75" customHeight="1" x14ac:dyDescent="0.35"/>
    <row r="67" ht="12.75" customHeight="1" x14ac:dyDescent="0.35"/>
    <row r="68" ht="12.75" customHeight="1" x14ac:dyDescent="0.35"/>
    <row r="69" ht="12.75" customHeight="1" x14ac:dyDescent="0.35"/>
    <row r="70" ht="12.75" customHeight="1" x14ac:dyDescent="0.35"/>
    <row r="71" ht="12.75" customHeight="1" x14ac:dyDescent="0.35"/>
    <row r="72" ht="12.75" customHeight="1" x14ac:dyDescent="0.35"/>
    <row r="73" ht="12.75" customHeight="1" x14ac:dyDescent="0.35"/>
    <row r="74" ht="12.75" customHeight="1" x14ac:dyDescent="0.35"/>
    <row r="75" ht="12.75" customHeight="1" x14ac:dyDescent="0.35"/>
    <row r="76" ht="12.75" customHeight="1" x14ac:dyDescent="0.35"/>
    <row r="77" ht="12.75" customHeight="1" x14ac:dyDescent="0.35"/>
    <row r="78" ht="12.75" customHeight="1" x14ac:dyDescent="0.35"/>
    <row r="79" ht="12.75" customHeight="1" x14ac:dyDescent="0.35"/>
    <row r="80" ht="12.75" customHeight="1" x14ac:dyDescent="0.35"/>
    <row r="81" ht="12.75" customHeight="1" x14ac:dyDescent="0.35"/>
    <row r="82" ht="12.75" customHeight="1" x14ac:dyDescent="0.35"/>
    <row r="83" ht="12.75" customHeight="1" x14ac:dyDescent="0.35"/>
    <row r="84" ht="12.75" customHeight="1" x14ac:dyDescent="0.35"/>
    <row r="85" ht="12.75" customHeight="1" x14ac:dyDescent="0.35"/>
    <row r="86" ht="12.75" customHeight="1" x14ac:dyDescent="0.35"/>
    <row r="87" ht="12.75" customHeight="1" x14ac:dyDescent="0.35"/>
    <row r="88" ht="12.75" customHeight="1" x14ac:dyDescent="0.35"/>
    <row r="89" ht="12.75" customHeight="1" x14ac:dyDescent="0.35"/>
    <row r="90" ht="12.75" customHeight="1" x14ac:dyDescent="0.35"/>
    <row r="91" ht="12.75" customHeight="1" x14ac:dyDescent="0.35"/>
    <row r="92" ht="12.75" customHeight="1" x14ac:dyDescent="0.35"/>
    <row r="93" ht="12.75" customHeight="1" x14ac:dyDescent="0.35"/>
    <row r="94" ht="12.75" customHeight="1" x14ac:dyDescent="0.35"/>
    <row r="95" ht="12.75" customHeight="1" x14ac:dyDescent="0.35"/>
    <row r="96" ht="12.75" customHeight="1" x14ac:dyDescent="0.35"/>
    <row r="97" ht="12.75" customHeight="1" x14ac:dyDescent="0.35"/>
    <row r="98" ht="12.75" customHeight="1" x14ac:dyDescent="0.35"/>
    <row r="99" ht="12.75" customHeight="1" x14ac:dyDescent="0.35"/>
    <row r="100" ht="12.75" customHeight="1" x14ac:dyDescent="0.35"/>
    <row r="101" ht="12.75" customHeight="1" x14ac:dyDescent="0.35"/>
    <row r="102" ht="12.75" customHeight="1" x14ac:dyDescent="0.35"/>
    <row r="103" ht="12.75" customHeight="1" x14ac:dyDescent="0.35"/>
    <row r="104" ht="12.75" customHeight="1" x14ac:dyDescent="0.35"/>
    <row r="105" ht="12.75" customHeight="1" x14ac:dyDescent="0.35"/>
    <row r="106" ht="12.75" customHeight="1" x14ac:dyDescent="0.35"/>
    <row r="107" ht="12.75" customHeight="1" x14ac:dyDescent="0.35"/>
    <row r="108" ht="12.75" customHeight="1" x14ac:dyDescent="0.35"/>
    <row r="109" ht="12.75" customHeight="1" x14ac:dyDescent="0.35"/>
    <row r="110" ht="12.75" customHeight="1" x14ac:dyDescent="0.35"/>
    <row r="111" ht="12.75" customHeight="1" x14ac:dyDescent="0.35"/>
    <row r="112" ht="12.75" customHeight="1" x14ac:dyDescent="0.35"/>
    <row r="113" ht="12.75" customHeight="1" x14ac:dyDescent="0.35"/>
    <row r="114" ht="12.75" customHeight="1" x14ac:dyDescent="0.35"/>
    <row r="115" ht="12.75" customHeight="1" x14ac:dyDescent="0.35"/>
    <row r="116" ht="12.75" customHeight="1" x14ac:dyDescent="0.35"/>
    <row r="117" ht="12.75" customHeight="1" x14ac:dyDescent="0.35"/>
    <row r="118" ht="12.75" customHeight="1" x14ac:dyDescent="0.35"/>
    <row r="119" ht="12.75" customHeight="1" x14ac:dyDescent="0.35"/>
    <row r="120" ht="12.75" customHeight="1" x14ac:dyDescent="0.35"/>
    <row r="121" ht="12.75" customHeight="1" x14ac:dyDescent="0.35"/>
    <row r="122" ht="12.75" customHeight="1" x14ac:dyDescent="0.35"/>
    <row r="123" ht="12.75" customHeight="1" x14ac:dyDescent="0.35"/>
    <row r="124" ht="12.75" customHeight="1" x14ac:dyDescent="0.35"/>
    <row r="125" ht="12.75" customHeight="1" x14ac:dyDescent="0.35"/>
    <row r="126" ht="12.75" customHeight="1" x14ac:dyDescent="0.35"/>
    <row r="127" ht="12.75" customHeight="1" x14ac:dyDescent="0.35"/>
    <row r="128" ht="12.75" customHeight="1" x14ac:dyDescent="0.35"/>
    <row r="129" ht="12.75" customHeight="1" x14ac:dyDescent="0.35"/>
    <row r="130" ht="12.75" customHeight="1" x14ac:dyDescent="0.35"/>
    <row r="131" ht="12.75" customHeight="1" x14ac:dyDescent="0.35"/>
    <row r="132" ht="12.75" customHeight="1" x14ac:dyDescent="0.35"/>
    <row r="133" ht="12.75" customHeight="1" x14ac:dyDescent="0.35"/>
    <row r="134" ht="12.75" customHeight="1" x14ac:dyDescent="0.35"/>
    <row r="135" ht="12.75" customHeight="1" x14ac:dyDescent="0.35"/>
    <row r="136" ht="12.75" customHeight="1" x14ac:dyDescent="0.35"/>
    <row r="137" ht="12.75" customHeight="1" x14ac:dyDescent="0.35"/>
    <row r="138" ht="12.75" customHeight="1" x14ac:dyDescent="0.35"/>
    <row r="139" ht="12.75" customHeight="1" x14ac:dyDescent="0.35"/>
    <row r="140" ht="12.75" customHeight="1" x14ac:dyDescent="0.35"/>
    <row r="141" ht="12.75" customHeight="1" x14ac:dyDescent="0.35"/>
    <row r="142" ht="12.75" customHeight="1" x14ac:dyDescent="0.35"/>
    <row r="143" ht="12.75" customHeight="1" x14ac:dyDescent="0.35"/>
    <row r="144" ht="12.75" customHeight="1" x14ac:dyDescent="0.35"/>
    <row r="145" ht="12.75" customHeight="1" x14ac:dyDescent="0.35"/>
    <row r="146" ht="12.75" customHeight="1" x14ac:dyDescent="0.35"/>
    <row r="147" ht="12.75" customHeight="1" x14ac:dyDescent="0.35"/>
    <row r="148" ht="12.75" customHeight="1" x14ac:dyDescent="0.35"/>
    <row r="149" ht="12.75" customHeight="1" x14ac:dyDescent="0.35"/>
    <row r="150" ht="12.75" customHeight="1" x14ac:dyDescent="0.35"/>
    <row r="151" ht="12.75" customHeight="1" x14ac:dyDescent="0.35"/>
    <row r="152" ht="12.75" customHeight="1" x14ac:dyDescent="0.35"/>
    <row r="153" ht="12.75" customHeight="1" x14ac:dyDescent="0.35"/>
    <row r="154" ht="12.75" customHeight="1" x14ac:dyDescent="0.35"/>
    <row r="155" ht="12.75" customHeight="1" x14ac:dyDescent="0.35"/>
    <row r="156" ht="12.75" customHeight="1" x14ac:dyDescent="0.35"/>
    <row r="157" ht="12.75" customHeight="1" x14ac:dyDescent="0.35"/>
    <row r="158" ht="12.75" customHeight="1" x14ac:dyDescent="0.35"/>
    <row r="159" ht="12.75" customHeight="1" x14ac:dyDescent="0.35"/>
    <row r="160" ht="12.75" customHeight="1" x14ac:dyDescent="0.35"/>
    <row r="161" ht="12.75" customHeight="1" x14ac:dyDescent="0.35"/>
    <row r="162" ht="12.75" customHeight="1" x14ac:dyDescent="0.35"/>
    <row r="163" ht="12.75" customHeight="1" x14ac:dyDescent="0.35"/>
    <row r="164" ht="12.75" customHeight="1" x14ac:dyDescent="0.35"/>
    <row r="165" ht="12.75" customHeight="1" x14ac:dyDescent="0.35"/>
    <row r="166" ht="12.75" customHeight="1" x14ac:dyDescent="0.35"/>
    <row r="167" ht="12.75" customHeight="1" x14ac:dyDescent="0.35"/>
    <row r="168" ht="12.75" customHeight="1" x14ac:dyDescent="0.35"/>
    <row r="169" ht="12.75" customHeight="1" x14ac:dyDescent="0.35"/>
    <row r="170" ht="12.75" customHeight="1" x14ac:dyDescent="0.35"/>
    <row r="171" ht="12.75" customHeight="1" x14ac:dyDescent="0.35"/>
    <row r="172" ht="12.75" customHeight="1" x14ac:dyDescent="0.35"/>
    <row r="173" ht="12.75" customHeight="1" x14ac:dyDescent="0.35"/>
    <row r="174" ht="12.75" customHeight="1" x14ac:dyDescent="0.35"/>
    <row r="175" ht="12.75" customHeight="1" x14ac:dyDescent="0.35"/>
    <row r="176" ht="12.75" customHeight="1" x14ac:dyDescent="0.35"/>
    <row r="177" ht="12.75" customHeight="1" x14ac:dyDescent="0.35"/>
    <row r="178" ht="12.75" customHeight="1" x14ac:dyDescent="0.35"/>
    <row r="179" ht="12.75" customHeight="1" x14ac:dyDescent="0.35"/>
    <row r="180" ht="12.75" customHeight="1" x14ac:dyDescent="0.35"/>
    <row r="181" ht="12.75" customHeight="1" x14ac:dyDescent="0.35"/>
    <row r="182" ht="12.75" customHeight="1" x14ac:dyDescent="0.35"/>
    <row r="183" ht="12.75" customHeight="1" x14ac:dyDescent="0.35"/>
    <row r="184" ht="12.75" customHeight="1" x14ac:dyDescent="0.35"/>
    <row r="185" ht="12.75" customHeight="1" x14ac:dyDescent="0.35"/>
    <row r="186" ht="12.75" customHeight="1" x14ac:dyDescent="0.35"/>
    <row r="187" ht="12.75" customHeight="1" x14ac:dyDescent="0.35"/>
    <row r="188" ht="12.75" customHeight="1" x14ac:dyDescent="0.35"/>
    <row r="189" ht="12.75" customHeight="1" x14ac:dyDescent="0.35"/>
    <row r="190" ht="12.75" customHeight="1" x14ac:dyDescent="0.35"/>
    <row r="191" ht="12.75" customHeight="1" x14ac:dyDescent="0.35"/>
    <row r="192" ht="12.75" customHeight="1" x14ac:dyDescent="0.35"/>
    <row r="193" ht="12.75" customHeight="1" x14ac:dyDescent="0.35"/>
    <row r="194" ht="12.75" customHeight="1" x14ac:dyDescent="0.35"/>
    <row r="195" ht="12.75" customHeight="1" x14ac:dyDescent="0.35"/>
    <row r="196" ht="12.75" customHeight="1" x14ac:dyDescent="0.35"/>
    <row r="197" ht="12.75" customHeight="1" x14ac:dyDescent="0.35"/>
    <row r="198" ht="12.75" customHeight="1" x14ac:dyDescent="0.35"/>
    <row r="199" ht="12.75" customHeight="1" x14ac:dyDescent="0.35"/>
    <row r="200" ht="12.75" customHeight="1" x14ac:dyDescent="0.35"/>
    <row r="201" ht="12.75" customHeight="1" x14ac:dyDescent="0.35"/>
    <row r="202" ht="12.75" customHeight="1" x14ac:dyDescent="0.35"/>
    <row r="203" ht="12.75" customHeight="1" x14ac:dyDescent="0.35"/>
    <row r="204" ht="12.75" customHeight="1" x14ac:dyDescent="0.35"/>
    <row r="205" ht="12.75" customHeight="1" x14ac:dyDescent="0.35"/>
    <row r="206" ht="12.75" customHeight="1" x14ac:dyDescent="0.35"/>
    <row r="207" ht="12.75" customHeight="1" x14ac:dyDescent="0.35"/>
    <row r="208" ht="12.75" customHeight="1" x14ac:dyDescent="0.35"/>
    <row r="209" ht="12.75" customHeight="1" x14ac:dyDescent="0.35"/>
    <row r="210" ht="12.75" customHeight="1" x14ac:dyDescent="0.35"/>
    <row r="211" ht="12.75" customHeight="1" x14ac:dyDescent="0.35"/>
    <row r="212" ht="12.75" customHeight="1" x14ac:dyDescent="0.35"/>
    <row r="213" ht="12.75" customHeight="1" x14ac:dyDescent="0.35"/>
    <row r="214" ht="12.75" customHeight="1" x14ac:dyDescent="0.35"/>
    <row r="215" ht="12.75" customHeight="1" x14ac:dyDescent="0.35"/>
    <row r="216" ht="12.75" customHeight="1" x14ac:dyDescent="0.35"/>
    <row r="217" ht="12.75" customHeight="1" x14ac:dyDescent="0.35"/>
    <row r="218" ht="12.75" customHeight="1" x14ac:dyDescent="0.35"/>
    <row r="219" ht="12.75" customHeight="1" x14ac:dyDescent="0.35"/>
    <row r="220" ht="12.75" customHeight="1" x14ac:dyDescent="0.35"/>
    <row r="221" ht="12.75" customHeight="1" x14ac:dyDescent="0.35"/>
    <row r="222" ht="12.75" customHeight="1" x14ac:dyDescent="0.35"/>
    <row r="223" ht="12.75" customHeight="1" x14ac:dyDescent="0.35"/>
    <row r="224" ht="12.75" customHeight="1" x14ac:dyDescent="0.35"/>
    <row r="225" ht="12.75" customHeight="1" x14ac:dyDescent="0.35"/>
    <row r="226" ht="12.75" customHeight="1" x14ac:dyDescent="0.35"/>
    <row r="227" ht="12.75" customHeight="1" x14ac:dyDescent="0.35"/>
    <row r="228" ht="12.75" customHeight="1" x14ac:dyDescent="0.35"/>
    <row r="229" ht="12.75" customHeight="1" x14ac:dyDescent="0.35"/>
    <row r="230" ht="12.75" customHeight="1" x14ac:dyDescent="0.35"/>
    <row r="231" ht="12.75" customHeight="1" x14ac:dyDescent="0.35"/>
    <row r="232" ht="12.75" customHeight="1" x14ac:dyDescent="0.35"/>
    <row r="233" ht="12.75" customHeight="1" x14ac:dyDescent="0.35"/>
    <row r="234" ht="12.75" customHeight="1" x14ac:dyDescent="0.35"/>
    <row r="235" ht="12.75" customHeight="1" x14ac:dyDescent="0.35"/>
    <row r="236" ht="12.75" customHeight="1" x14ac:dyDescent="0.35"/>
    <row r="237" ht="12.75" customHeight="1" x14ac:dyDescent="0.35"/>
    <row r="238" ht="12.75" customHeight="1" x14ac:dyDescent="0.35"/>
    <row r="239" ht="12.75" customHeight="1" x14ac:dyDescent="0.35"/>
    <row r="240" ht="12.75" customHeight="1" x14ac:dyDescent="0.35"/>
    <row r="241" ht="12.75" customHeight="1" x14ac:dyDescent="0.35"/>
    <row r="242" ht="12.75" customHeight="1" x14ac:dyDescent="0.35"/>
    <row r="243" ht="12.75" customHeight="1" x14ac:dyDescent="0.35"/>
    <row r="244" ht="12.75" customHeight="1" x14ac:dyDescent="0.35"/>
    <row r="245" ht="12.75" customHeight="1" x14ac:dyDescent="0.35"/>
    <row r="246" ht="12.75" customHeight="1" x14ac:dyDescent="0.35"/>
    <row r="247" ht="12.75" customHeight="1" x14ac:dyDescent="0.35"/>
    <row r="248" ht="12.75" customHeight="1" x14ac:dyDescent="0.35"/>
    <row r="249" ht="12.75" customHeight="1" x14ac:dyDescent="0.35"/>
    <row r="250" ht="12.75" customHeight="1" x14ac:dyDescent="0.35"/>
    <row r="251" ht="12.75" customHeight="1" x14ac:dyDescent="0.35"/>
    <row r="252" ht="12.75" customHeight="1" x14ac:dyDescent="0.35"/>
    <row r="253" ht="12.75" customHeight="1" x14ac:dyDescent="0.35"/>
    <row r="254" ht="12.75" customHeight="1" x14ac:dyDescent="0.35"/>
    <row r="255" ht="12.75" customHeight="1" x14ac:dyDescent="0.35"/>
    <row r="256" ht="12.75" customHeight="1" x14ac:dyDescent="0.35"/>
    <row r="257" ht="12.75" customHeight="1" x14ac:dyDescent="0.35"/>
    <row r="258" ht="12.75" customHeight="1" x14ac:dyDescent="0.35"/>
    <row r="259" ht="12.75" customHeight="1" x14ac:dyDescent="0.35"/>
    <row r="260" ht="12.75" customHeight="1" x14ac:dyDescent="0.35"/>
    <row r="261" ht="12.75" customHeight="1" x14ac:dyDescent="0.35"/>
    <row r="262" ht="12.75" customHeight="1" x14ac:dyDescent="0.35"/>
    <row r="263" ht="12.75" customHeight="1" x14ac:dyDescent="0.35"/>
    <row r="264" ht="12.75" customHeight="1" x14ac:dyDescent="0.35"/>
    <row r="265" ht="12.75" customHeight="1" x14ac:dyDescent="0.35"/>
    <row r="266" ht="12.75" customHeight="1" x14ac:dyDescent="0.35"/>
    <row r="267" ht="12.75" customHeight="1" x14ac:dyDescent="0.35"/>
    <row r="268" ht="12.75" customHeight="1" x14ac:dyDescent="0.35"/>
    <row r="269" ht="12.75" customHeight="1" x14ac:dyDescent="0.35"/>
    <row r="270" ht="12.75" customHeight="1" x14ac:dyDescent="0.35"/>
    <row r="271" ht="12.75" customHeight="1" x14ac:dyDescent="0.35"/>
    <row r="272" ht="12.75" customHeight="1" x14ac:dyDescent="0.35"/>
    <row r="273" ht="12.75" customHeight="1" x14ac:dyDescent="0.35"/>
    <row r="274" ht="12.75" customHeight="1" x14ac:dyDescent="0.35"/>
    <row r="275" ht="12.75" customHeight="1" x14ac:dyDescent="0.35"/>
    <row r="276" ht="12.75" customHeight="1" x14ac:dyDescent="0.35"/>
    <row r="277" ht="12.75" customHeight="1" x14ac:dyDescent="0.35"/>
    <row r="278" ht="12.75" customHeight="1" x14ac:dyDescent="0.35"/>
    <row r="279" ht="12.75" customHeight="1" x14ac:dyDescent="0.35"/>
    <row r="280" ht="12.75" customHeight="1" x14ac:dyDescent="0.35"/>
    <row r="281" ht="12.75" customHeight="1" x14ac:dyDescent="0.35"/>
    <row r="282" ht="12.75" customHeight="1" x14ac:dyDescent="0.35"/>
    <row r="283" ht="12.75" customHeight="1" x14ac:dyDescent="0.35"/>
    <row r="284" ht="12.75" customHeight="1" x14ac:dyDescent="0.35"/>
    <row r="285" ht="12.75" customHeight="1" x14ac:dyDescent="0.35"/>
    <row r="286" ht="12.75" customHeight="1" x14ac:dyDescent="0.35"/>
    <row r="287" ht="12.75" customHeight="1" x14ac:dyDescent="0.35"/>
    <row r="288" ht="12.75" customHeight="1" x14ac:dyDescent="0.35"/>
    <row r="289" ht="12.75" customHeight="1" x14ac:dyDescent="0.35"/>
    <row r="290" ht="12.75" customHeight="1" x14ac:dyDescent="0.35"/>
    <row r="291" ht="12.75" customHeight="1" x14ac:dyDescent="0.35"/>
    <row r="292" ht="12.75" customHeight="1" x14ac:dyDescent="0.35"/>
    <row r="293" ht="12.75" customHeight="1" x14ac:dyDescent="0.35"/>
    <row r="294" ht="12.75" customHeight="1" x14ac:dyDescent="0.35"/>
    <row r="295" ht="12.75" customHeight="1" x14ac:dyDescent="0.35"/>
    <row r="296" ht="12.75" customHeight="1" x14ac:dyDescent="0.35"/>
    <row r="297" ht="12.75" customHeight="1" x14ac:dyDescent="0.35"/>
    <row r="298" ht="12.75" customHeight="1" x14ac:dyDescent="0.35"/>
    <row r="299" ht="12.75" customHeight="1" x14ac:dyDescent="0.35"/>
    <row r="300" ht="12.75" customHeight="1" x14ac:dyDescent="0.35"/>
    <row r="301" ht="12.75" customHeight="1" x14ac:dyDescent="0.35"/>
    <row r="302" ht="12.75" customHeight="1" x14ac:dyDescent="0.35"/>
    <row r="303" ht="12.75" customHeight="1" x14ac:dyDescent="0.35"/>
    <row r="304" ht="12.75" customHeight="1" x14ac:dyDescent="0.35"/>
    <row r="305" ht="12.75" customHeight="1" x14ac:dyDescent="0.35"/>
    <row r="306" ht="12.75" customHeight="1" x14ac:dyDescent="0.35"/>
    <row r="307" ht="12.75" customHeight="1" x14ac:dyDescent="0.35"/>
    <row r="308" ht="12.75" customHeight="1" x14ac:dyDescent="0.35"/>
    <row r="309" ht="12.75" customHeight="1" x14ac:dyDescent="0.35"/>
    <row r="310" ht="12.75" customHeight="1" x14ac:dyDescent="0.35"/>
    <row r="311" ht="12.75" customHeight="1" x14ac:dyDescent="0.35"/>
    <row r="312" ht="12.75" customHeight="1" x14ac:dyDescent="0.35"/>
    <row r="313" ht="12.75" customHeight="1" x14ac:dyDescent="0.35"/>
    <row r="314" ht="12.75" customHeight="1" x14ac:dyDescent="0.35"/>
    <row r="315" ht="12.75" customHeight="1" x14ac:dyDescent="0.35"/>
    <row r="316" ht="12.75" customHeight="1" x14ac:dyDescent="0.35"/>
    <row r="317" ht="12.75" customHeight="1" x14ac:dyDescent="0.35"/>
    <row r="318" ht="12.75" customHeight="1" x14ac:dyDescent="0.35"/>
    <row r="319" ht="12.75" customHeight="1" x14ac:dyDescent="0.35"/>
    <row r="320" ht="12.75" customHeight="1" x14ac:dyDescent="0.35"/>
    <row r="321" ht="12.75" customHeight="1" x14ac:dyDescent="0.35"/>
    <row r="322" ht="12.75" customHeight="1" x14ac:dyDescent="0.35"/>
    <row r="323" ht="12.75" customHeight="1" x14ac:dyDescent="0.35"/>
    <row r="324" ht="12.75" customHeight="1" x14ac:dyDescent="0.35"/>
    <row r="325" ht="12.75" customHeight="1" x14ac:dyDescent="0.35"/>
    <row r="326" ht="12.75" customHeight="1" x14ac:dyDescent="0.35"/>
    <row r="327" ht="12.75" customHeight="1" x14ac:dyDescent="0.35"/>
    <row r="328" ht="12.75" customHeight="1" x14ac:dyDescent="0.35"/>
    <row r="329" ht="12.75" customHeight="1" x14ac:dyDescent="0.35"/>
    <row r="330" ht="12.75" customHeight="1" x14ac:dyDescent="0.35"/>
    <row r="331" ht="12.75" customHeight="1" x14ac:dyDescent="0.35"/>
    <row r="332" ht="12.75" customHeight="1" x14ac:dyDescent="0.35"/>
    <row r="333" ht="12.75" customHeight="1" x14ac:dyDescent="0.35"/>
    <row r="334" ht="12.75" customHeight="1" x14ac:dyDescent="0.35"/>
    <row r="335" ht="12.75" customHeight="1" x14ac:dyDescent="0.35"/>
    <row r="336" ht="12.75" customHeight="1" x14ac:dyDescent="0.35"/>
    <row r="337" ht="12.75" customHeight="1" x14ac:dyDescent="0.35"/>
    <row r="338" ht="12.75" customHeight="1" x14ac:dyDescent="0.35"/>
    <row r="339" ht="12.75" customHeight="1" x14ac:dyDescent="0.35"/>
    <row r="340" ht="12.75" customHeight="1" x14ac:dyDescent="0.35"/>
    <row r="341" ht="12.75" customHeight="1" x14ac:dyDescent="0.35"/>
    <row r="342" ht="12.75" customHeight="1" x14ac:dyDescent="0.35"/>
    <row r="343" ht="12.75" customHeight="1" x14ac:dyDescent="0.35"/>
    <row r="344" ht="12.75" customHeight="1" x14ac:dyDescent="0.35"/>
    <row r="345" ht="12.75" customHeight="1" x14ac:dyDescent="0.35"/>
    <row r="346" ht="12.75" customHeight="1" x14ac:dyDescent="0.35"/>
    <row r="347" ht="12.75" customHeight="1" x14ac:dyDescent="0.35"/>
    <row r="348" ht="12.75" customHeight="1" x14ac:dyDescent="0.35"/>
    <row r="349" ht="12.75" customHeight="1" x14ac:dyDescent="0.35"/>
    <row r="350" ht="12.75" customHeight="1" x14ac:dyDescent="0.35"/>
    <row r="351" ht="12.75" customHeight="1" x14ac:dyDescent="0.35"/>
    <row r="352" ht="12.75" customHeight="1" x14ac:dyDescent="0.35"/>
    <row r="353" ht="12.75" customHeight="1" x14ac:dyDescent="0.35"/>
    <row r="354" ht="12.75" customHeight="1" x14ac:dyDescent="0.35"/>
    <row r="355" ht="12.75" customHeight="1" x14ac:dyDescent="0.35"/>
    <row r="356" ht="12.75" customHeight="1" x14ac:dyDescent="0.35"/>
    <row r="357" ht="12.75" customHeight="1" x14ac:dyDescent="0.35"/>
    <row r="358" ht="12.75" customHeight="1" x14ac:dyDescent="0.35"/>
    <row r="359" ht="12.75" customHeight="1" x14ac:dyDescent="0.35"/>
    <row r="360" ht="12.75" customHeight="1" x14ac:dyDescent="0.35"/>
    <row r="361" ht="12.75" customHeight="1" x14ac:dyDescent="0.35"/>
    <row r="362" ht="12.75" customHeight="1" x14ac:dyDescent="0.35"/>
    <row r="363" ht="12.75" customHeight="1" x14ac:dyDescent="0.35"/>
    <row r="364" ht="12.75" customHeight="1" x14ac:dyDescent="0.35"/>
    <row r="365" ht="12.75" customHeight="1" x14ac:dyDescent="0.35"/>
    <row r="366" ht="12.75" customHeight="1" x14ac:dyDescent="0.35"/>
    <row r="367" ht="12.75" customHeight="1" x14ac:dyDescent="0.35"/>
    <row r="368" ht="12.75" customHeight="1" x14ac:dyDescent="0.35"/>
    <row r="369" ht="12.75" customHeight="1" x14ac:dyDescent="0.35"/>
    <row r="370" ht="12.75" customHeight="1" x14ac:dyDescent="0.35"/>
    <row r="371" ht="12.75" customHeight="1" x14ac:dyDescent="0.35"/>
    <row r="372" ht="12.75" customHeight="1" x14ac:dyDescent="0.35"/>
    <row r="373" ht="12.75" customHeight="1" x14ac:dyDescent="0.35"/>
    <row r="374" ht="12.75" customHeight="1" x14ac:dyDescent="0.35"/>
    <row r="375" ht="12.75" customHeight="1" x14ac:dyDescent="0.35"/>
    <row r="376" ht="12.75" customHeight="1" x14ac:dyDescent="0.35"/>
    <row r="377" ht="12.75" customHeight="1" x14ac:dyDescent="0.35"/>
    <row r="378" ht="12.75" customHeight="1" x14ac:dyDescent="0.35"/>
    <row r="379" ht="12.75" customHeight="1" x14ac:dyDescent="0.35"/>
    <row r="380" ht="12.75" customHeight="1" x14ac:dyDescent="0.35"/>
    <row r="381" ht="12.75" customHeight="1" x14ac:dyDescent="0.35"/>
    <row r="382" ht="12.75" customHeight="1" x14ac:dyDescent="0.35"/>
    <row r="383" ht="12.75" customHeight="1" x14ac:dyDescent="0.35"/>
    <row r="384" ht="12.75" customHeight="1" x14ac:dyDescent="0.35"/>
    <row r="385" ht="12.75" customHeight="1" x14ac:dyDescent="0.35"/>
    <row r="386" ht="12.75" customHeight="1" x14ac:dyDescent="0.35"/>
    <row r="387" ht="12.75" customHeight="1" x14ac:dyDescent="0.35"/>
    <row r="388" ht="12.75" customHeight="1" x14ac:dyDescent="0.35"/>
    <row r="389" ht="12.75" customHeight="1" x14ac:dyDescent="0.35"/>
    <row r="390" ht="12.75" customHeight="1" x14ac:dyDescent="0.35"/>
    <row r="391" ht="12.75" customHeight="1" x14ac:dyDescent="0.35"/>
    <row r="392" ht="12.75" customHeight="1" x14ac:dyDescent="0.35"/>
    <row r="393" ht="12.75" customHeight="1" x14ac:dyDescent="0.35"/>
    <row r="394" ht="12.75" customHeight="1" x14ac:dyDescent="0.35"/>
    <row r="395" ht="12.75" customHeight="1" x14ac:dyDescent="0.35"/>
    <row r="396" ht="12.75" customHeight="1" x14ac:dyDescent="0.35"/>
    <row r="397" ht="12.75" customHeight="1" x14ac:dyDescent="0.35"/>
    <row r="398" ht="12.75" customHeight="1" x14ac:dyDescent="0.35"/>
    <row r="399" ht="12.75" customHeight="1" x14ac:dyDescent="0.35"/>
    <row r="400" ht="12.75" customHeight="1" x14ac:dyDescent="0.35"/>
    <row r="401" ht="12.75" customHeight="1" x14ac:dyDescent="0.35"/>
    <row r="402" ht="12.75" customHeight="1" x14ac:dyDescent="0.35"/>
    <row r="403" ht="12.75" customHeight="1" x14ac:dyDescent="0.35"/>
    <row r="404" ht="12.75" customHeight="1" x14ac:dyDescent="0.35"/>
    <row r="405" ht="12.75" customHeight="1" x14ac:dyDescent="0.35"/>
    <row r="406" ht="12.75" customHeight="1" x14ac:dyDescent="0.35"/>
    <row r="407" ht="12.75" customHeight="1" x14ac:dyDescent="0.35"/>
    <row r="408" ht="12.75" customHeight="1" x14ac:dyDescent="0.35"/>
    <row r="409" ht="12.75" customHeight="1" x14ac:dyDescent="0.35"/>
    <row r="410" ht="12.75" customHeight="1" x14ac:dyDescent="0.35"/>
    <row r="411" ht="12.75" customHeight="1" x14ac:dyDescent="0.35"/>
    <row r="412" ht="12.75" customHeight="1" x14ac:dyDescent="0.35"/>
    <row r="413" ht="12.75" customHeight="1" x14ac:dyDescent="0.35"/>
    <row r="414" ht="12.75" customHeight="1" x14ac:dyDescent="0.35"/>
    <row r="415" ht="12.75" customHeight="1" x14ac:dyDescent="0.35"/>
    <row r="416" ht="12.75" customHeight="1" x14ac:dyDescent="0.35"/>
    <row r="417" ht="12.75" customHeight="1" x14ac:dyDescent="0.35"/>
    <row r="418" ht="12.75" customHeight="1" x14ac:dyDescent="0.35"/>
    <row r="419" ht="12.75" customHeight="1" x14ac:dyDescent="0.35"/>
    <row r="420" ht="12.75" customHeight="1" x14ac:dyDescent="0.35"/>
    <row r="421" ht="12.75" customHeight="1" x14ac:dyDescent="0.35"/>
    <row r="422" ht="12.75" customHeight="1" x14ac:dyDescent="0.35"/>
    <row r="423" ht="12.75" customHeight="1" x14ac:dyDescent="0.35"/>
    <row r="424" ht="12.75" customHeight="1" x14ac:dyDescent="0.35"/>
    <row r="425" ht="12.75" customHeight="1" x14ac:dyDescent="0.35"/>
    <row r="426" ht="12.75" customHeight="1" x14ac:dyDescent="0.35"/>
    <row r="427" ht="12.75" customHeight="1" x14ac:dyDescent="0.35"/>
    <row r="428" ht="12.75" customHeight="1" x14ac:dyDescent="0.35"/>
    <row r="429" ht="12.75" customHeight="1" x14ac:dyDescent="0.35"/>
    <row r="430" ht="12.75" customHeight="1" x14ac:dyDescent="0.35"/>
    <row r="431" ht="12.75" customHeight="1" x14ac:dyDescent="0.35"/>
    <row r="432" ht="12.75" customHeight="1" x14ac:dyDescent="0.35"/>
    <row r="433" ht="12.75" customHeight="1" x14ac:dyDescent="0.35"/>
    <row r="434" ht="12.75" customHeight="1" x14ac:dyDescent="0.35"/>
    <row r="435" ht="12.75" customHeight="1" x14ac:dyDescent="0.35"/>
    <row r="436" ht="12.75" customHeight="1" x14ac:dyDescent="0.35"/>
    <row r="437" ht="12.75" customHeight="1" x14ac:dyDescent="0.35"/>
    <row r="438" ht="12.75" customHeight="1" x14ac:dyDescent="0.35"/>
    <row r="439" ht="12.75" customHeight="1" x14ac:dyDescent="0.35"/>
    <row r="440" ht="12.75" customHeight="1" x14ac:dyDescent="0.35"/>
    <row r="441" ht="12.75" customHeight="1" x14ac:dyDescent="0.35"/>
    <row r="442" ht="12.75" customHeight="1" x14ac:dyDescent="0.35"/>
    <row r="443" ht="12.75" customHeight="1" x14ac:dyDescent="0.35"/>
    <row r="444" ht="12.75" customHeight="1" x14ac:dyDescent="0.35"/>
    <row r="445" ht="12.75" customHeight="1" x14ac:dyDescent="0.35"/>
    <row r="446" ht="12.75" customHeight="1" x14ac:dyDescent="0.35"/>
    <row r="447" ht="12.75" customHeight="1" x14ac:dyDescent="0.35"/>
    <row r="448" ht="12.75" customHeight="1" x14ac:dyDescent="0.35"/>
    <row r="449" ht="12.75" customHeight="1" x14ac:dyDescent="0.35"/>
    <row r="450" ht="12.75" customHeight="1" x14ac:dyDescent="0.35"/>
    <row r="451" ht="12.75" customHeight="1" x14ac:dyDescent="0.35"/>
    <row r="452" ht="12.75" customHeight="1" x14ac:dyDescent="0.35"/>
    <row r="453" ht="12.75" customHeight="1" x14ac:dyDescent="0.35"/>
    <row r="454" ht="12.75" customHeight="1" x14ac:dyDescent="0.35"/>
    <row r="455" ht="12.75" customHeight="1" x14ac:dyDescent="0.35"/>
    <row r="456" ht="12.75" customHeight="1" x14ac:dyDescent="0.35"/>
    <row r="457" ht="12.75" customHeight="1" x14ac:dyDescent="0.35"/>
    <row r="458" ht="12.75" customHeight="1" x14ac:dyDescent="0.35"/>
    <row r="459" ht="12.75" customHeight="1" x14ac:dyDescent="0.35"/>
    <row r="460" ht="12.75" customHeight="1" x14ac:dyDescent="0.35"/>
    <row r="461" ht="12.75" customHeight="1" x14ac:dyDescent="0.35"/>
    <row r="462" ht="12.75" customHeight="1" x14ac:dyDescent="0.35"/>
    <row r="463" ht="12.75" customHeight="1" x14ac:dyDescent="0.35"/>
    <row r="464" ht="12.75" customHeight="1" x14ac:dyDescent="0.35"/>
    <row r="465" ht="12.75" customHeight="1" x14ac:dyDescent="0.35"/>
    <row r="466" ht="12.75" customHeight="1" x14ac:dyDescent="0.35"/>
    <row r="467" ht="12.75" customHeight="1" x14ac:dyDescent="0.35"/>
    <row r="468" ht="12.75" customHeight="1" x14ac:dyDescent="0.35"/>
    <row r="469" ht="12.75" customHeight="1" x14ac:dyDescent="0.35"/>
    <row r="470" ht="12.75" customHeight="1" x14ac:dyDescent="0.35"/>
    <row r="471" ht="12.75" customHeight="1" x14ac:dyDescent="0.35"/>
    <row r="472" ht="12.75" customHeight="1" x14ac:dyDescent="0.35"/>
    <row r="473" ht="12.75" customHeight="1" x14ac:dyDescent="0.35"/>
    <row r="474" ht="12.75" customHeight="1" x14ac:dyDescent="0.35"/>
    <row r="475" ht="12.75" customHeight="1" x14ac:dyDescent="0.35"/>
    <row r="476" ht="12.75" customHeight="1" x14ac:dyDescent="0.35"/>
    <row r="477" ht="12.75" customHeight="1" x14ac:dyDescent="0.35"/>
    <row r="478" ht="12.75" customHeight="1" x14ac:dyDescent="0.35"/>
    <row r="479" ht="12.75" customHeight="1" x14ac:dyDescent="0.35"/>
    <row r="480" ht="12.75" customHeight="1" x14ac:dyDescent="0.35"/>
    <row r="481" ht="12.75" customHeight="1" x14ac:dyDescent="0.35"/>
    <row r="482" ht="12.75" customHeight="1" x14ac:dyDescent="0.35"/>
    <row r="483" ht="12.75" customHeight="1" x14ac:dyDescent="0.35"/>
    <row r="484" ht="12.75" customHeight="1" x14ac:dyDescent="0.35"/>
    <row r="485" ht="12.75" customHeight="1" x14ac:dyDescent="0.35"/>
    <row r="486" ht="12.75" customHeight="1" x14ac:dyDescent="0.35"/>
    <row r="487" ht="12.75" customHeight="1" x14ac:dyDescent="0.35"/>
    <row r="488" ht="12.75" customHeight="1" x14ac:dyDescent="0.35"/>
    <row r="489" ht="12.75" customHeight="1" x14ac:dyDescent="0.35"/>
    <row r="490" ht="12.75" customHeight="1" x14ac:dyDescent="0.35"/>
    <row r="491" ht="12.75" customHeight="1" x14ac:dyDescent="0.35"/>
    <row r="492" ht="12.75" customHeight="1" x14ac:dyDescent="0.35"/>
    <row r="493" ht="12.75" customHeight="1" x14ac:dyDescent="0.35"/>
    <row r="494" ht="12.75" customHeight="1" x14ac:dyDescent="0.35"/>
    <row r="495" ht="12.75" customHeight="1" x14ac:dyDescent="0.35"/>
    <row r="496" ht="12.75" customHeight="1" x14ac:dyDescent="0.35"/>
    <row r="497" ht="12.75" customHeight="1" x14ac:dyDescent="0.35"/>
    <row r="498" ht="12.75" customHeight="1" x14ac:dyDescent="0.35"/>
    <row r="499" ht="12.75" customHeight="1" x14ac:dyDescent="0.35"/>
    <row r="500" ht="12.75" customHeight="1" x14ac:dyDescent="0.35"/>
    <row r="501" ht="12.75" customHeight="1" x14ac:dyDescent="0.35"/>
    <row r="502" ht="12.75" customHeight="1" x14ac:dyDescent="0.35"/>
    <row r="503" ht="12.75" customHeight="1" x14ac:dyDescent="0.35"/>
    <row r="504" ht="12.75" customHeight="1" x14ac:dyDescent="0.35"/>
    <row r="505" ht="12.75" customHeight="1" x14ac:dyDescent="0.35"/>
    <row r="506" ht="12.75" customHeight="1" x14ac:dyDescent="0.35"/>
    <row r="507" ht="12.75" customHeight="1" x14ac:dyDescent="0.35"/>
    <row r="508" ht="12.75" customHeight="1" x14ac:dyDescent="0.35"/>
    <row r="509" ht="12.75" customHeight="1" x14ac:dyDescent="0.35"/>
    <row r="510" ht="12.75" customHeight="1" x14ac:dyDescent="0.35"/>
    <row r="511" ht="12.75" customHeight="1" x14ac:dyDescent="0.35"/>
    <row r="512" ht="12.75" customHeight="1" x14ac:dyDescent="0.35"/>
    <row r="513" ht="12.75" customHeight="1" x14ac:dyDescent="0.35"/>
    <row r="514" ht="12.75" customHeight="1" x14ac:dyDescent="0.35"/>
    <row r="515" ht="12.75" customHeight="1" x14ac:dyDescent="0.35"/>
    <row r="516" ht="12.75" customHeight="1" x14ac:dyDescent="0.35"/>
    <row r="517" ht="12.75" customHeight="1" x14ac:dyDescent="0.35"/>
    <row r="518" ht="12.75" customHeight="1" x14ac:dyDescent="0.35"/>
    <row r="519" ht="12.75" customHeight="1" x14ac:dyDescent="0.35"/>
    <row r="520" ht="12.75" customHeight="1" x14ac:dyDescent="0.35"/>
    <row r="521" ht="12.75" customHeight="1" x14ac:dyDescent="0.35"/>
    <row r="522" ht="12.75" customHeight="1" x14ac:dyDescent="0.35"/>
    <row r="523" ht="12.75" customHeight="1" x14ac:dyDescent="0.35"/>
    <row r="524" ht="12.75" customHeight="1" x14ac:dyDescent="0.35"/>
    <row r="525" ht="12.75" customHeight="1" x14ac:dyDescent="0.35"/>
    <row r="526" ht="12.75" customHeight="1" x14ac:dyDescent="0.35"/>
    <row r="527" ht="12.75" customHeight="1" x14ac:dyDescent="0.35"/>
    <row r="528" ht="12.75" customHeight="1" x14ac:dyDescent="0.35"/>
    <row r="529" ht="12.75" customHeight="1" x14ac:dyDescent="0.35"/>
    <row r="530" ht="12.75" customHeight="1" x14ac:dyDescent="0.35"/>
    <row r="531" ht="12.75" customHeight="1" x14ac:dyDescent="0.35"/>
    <row r="532" ht="12.75" customHeight="1" x14ac:dyDescent="0.35"/>
    <row r="533" ht="12.75" customHeight="1" x14ac:dyDescent="0.35"/>
    <row r="534" ht="12.75" customHeight="1" x14ac:dyDescent="0.35"/>
    <row r="535" ht="12.75" customHeight="1" x14ac:dyDescent="0.35"/>
    <row r="536" ht="12.75" customHeight="1" x14ac:dyDescent="0.35"/>
    <row r="537" ht="12.75" customHeight="1" x14ac:dyDescent="0.35"/>
    <row r="538" ht="12.75" customHeight="1" x14ac:dyDescent="0.35"/>
    <row r="539" ht="12.75" customHeight="1" x14ac:dyDescent="0.35"/>
    <row r="540" ht="12.75" customHeight="1" x14ac:dyDescent="0.35"/>
    <row r="541" ht="12.75" customHeight="1" x14ac:dyDescent="0.35"/>
    <row r="542" ht="12.75" customHeight="1" x14ac:dyDescent="0.35"/>
    <row r="543" ht="12.75" customHeight="1" x14ac:dyDescent="0.35"/>
    <row r="544" ht="12.75" customHeight="1" x14ac:dyDescent="0.35"/>
    <row r="545" ht="12.75" customHeight="1" x14ac:dyDescent="0.35"/>
    <row r="546" ht="12.75" customHeight="1" x14ac:dyDescent="0.35"/>
    <row r="547" ht="12.75" customHeight="1" x14ac:dyDescent="0.35"/>
    <row r="548" ht="12.75" customHeight="1" x14ac:dyDescent="0.35"/>
    <row r="549" ht="12.75" customHeight="1" x14ac:dyDescent="0.35"/>
    <row r="550" ht="12.75" customHeight="1" x14ac:dyDescent="0.35"/>
    <row r="551" ht="12.75" customHeight="1" x14ac:dyDescent="0.35"/>
    <row r="552" ht="12.75" customHeight="1" x14ac:dyDescent="0.35"/>
    <row r="553" ht="12.75" customHeight="1" x14ac:dyDescent="0.35"/>
    <row r="554" ht="12.75" customHeight="1" x14ac:dyDescent="0.35"/>
    <row r="555" ht="12.75" customHeight="1" x14ac:dyDescent="0.35"/>
    <row r="556" ht="12.75" customHeight="1" x14ac:dyDescent="0.35"/>
    <row r="557" ht="12.75" customHeight="1" x14ac:dyDescent="0.35"/>
    <row r="558" ht="12.75" customHeight="1" x14ac:dyDescent="0.35"/>
    <row r="559" ht="12.75" customHeight="1" x14ac:dyDescent="0.35"/>
    <row r="560" ht="12.75" customHeight="1" x14ac:dyDescent="0.35"/>
    <row r="561" ht="12.75" customHeight="1" x14ac:dyDescent="0.35"/>
    <row r="562" ht="12.75" customHeight="1" x14ac:dyDescent="0.35"/>
    <row r="563" ht="12.75" customHeight="1" x14ac:dyDescent="0.35"/>
    <row r="564" ht="12.75" customHeight="1" x14ac:dyDescent="0.35"/>
    <row r="565" ht="12.75" customHeight="1" x14ac:dyDescent="0.35"/>
    <row r="566" ht="12.75" customHeight="1" x14ac:dyDescent="0.35"/>
    <row r="567" ht="12.75" customHeight="1" x14ac:dyDescent="0.35"/>
    <row r="568" ht="12.75" customHeight="1" x14ac:dyDescent="0.35"/>
    <row r="569" ht="12.75" customHeight="1" x14ac:dyDescent="0.35"/>
    <row r="570" ht="12.75" customHeight="1" x14ac:dyDescent="0.35"/>
    <row r="571" ht="12.75" customHeight="1" x14ac:dyDescent="0.35"/>
    <row r="572" ht="12.75" customHeight="1" x14ac:dyDescent="0.35"/>
    <row r="573" ht="12.75" customHeight="1" x14ac:dyDescent="0.35"/>
    <row r="574" ht="12.75" customHeight="1" x14ac:dyDescent="0.35"/>
    <row r="575" ht="12.75" customHeight="1" x14ac:dyDescent="0.35"/>
    <row r="576" ht="12.75" customHeight="1" x14ac:dyDescent="0.35"/>
    <row r="577" ht="12.75" customHeight="1" x14ac:dyDescent="0.35"/>
    <row r="578" ht="12.75" customHeight="1" x14ac:dyDescent="0.35"/>
    <row r="579" ht="12.75" customHeight="1" x14ac:dyDescent="0.35"/>
    <row r="580" ht="12.75" customHeight="1" x14ac:dyDescent="0.35"/>
    <row r="581" ht="12.75" customHeight="1" x14ac:dyDescent="0.35"/>
    <row r="582" ht="12.75" customHeight="1" x14ac:dyDescent="0.35"/>
    <row r="583" ht="12.75" customHeight="1" x14ac:dyDescent="0.35"/>
    <row r="584" ht="12.75" customHeight="1" x14ac:dyDescent="0.35"/>
    <row r="585" ht="12.75" customHeight="1" x14ac:dyDescent="0.35"/>
    <row r="586" ht="12.75" customHeight="1" x14ac:dyDescent="0.35"/>
    <row r="587" ht="12.75" customHeight="1" x14ac:dyDescent="0.35"/>
    <row r="588" ht="12.75" customHeight="1" x14ac:dyDescent="0.35"/>
    <row r="589" ht="12.75" customHeight="1" x14ac:dyDescent="0.35"/>
    <row r="590" ht="12.75" customHeight="1" x14ac:dyDescent="0.35"/>
    <row r="591" ht="12.75" customHeight="1" x14ac:dyDescent="0.35"/>
    <row r="592" ht="12.75" customHeight="1" x14ac:dyDescent="0.35"/>
    <row r="593" ht="12.75" customHeight="1" x14ac:dyDescent="0.35"/>
    <row r="594" ht="12.75" customHeight="1" x14ac:dyDescent="0.35"/>
    <row r="595" ht="12.75" customHeight="1" x14ac:dyDescent="0.35"/>
    <row r="596" ht="12.75" customHeight="1" x14ac:dyDescent="0.35"/>
    <row r="597" ht="12.75" customHeight="1" x14ac:dyDescent="0.35"/>
    <row r="598" ht="12.75" customHeight="1" x14ac:dyDescent="0.35"/>
    <row r="599" ht="12.75" customHeight="1" x14ac:dyDescent="0.35"/>
    <row r="600" ht="12.75" customHeight="1" x14ac:dyDescent="0.35"/>
    <row r="601" ht="12.75" customHeight="1" x14ac:dyDescent="0.35"/>
    <row r="602" ht="12.75" customHeight="1" x14ac:dyDescent="0.35"/>
    <row r="603" ht="12.75" customHeight="1" x14ac:dyDescent="0.35"/>
    <row r="604" ht="12.75" customHeight="1" x14ac:dyDescent="0.35"/>
    <row r="605" ht="12.75" customHeight="1" x14ac:dyDescent="0.35"/>
    <row r="606" ht="12.75" customHeight="1" x14ac:dyDescent="0.35"/>
    <row r="607" ht="12.75" customHeight="1" x14ac:dyDescent="0.35"/>
    <row r="608" ht="12.75" customHeight="1" x14ac:dyDescent="0.35"/>
    <row r="609" ht="12.75" customHeight="1" x14ac:dyDescent="0.35"/>
    <row r="610" ht="12.75" customHeight="1" x14ac:dyDescent="0.35"/>
    <row r="611" ht="12.75" customHeight="1" x14ac:dyDescent="0.35"/>
    <row r="612" ht="12.75" customHeight="1" x14ac:dyDescent="0.35"/>
    <row r="613" ht="12.75" customHeight="1" x14ac:dyDescent="0.35"/>
    <row r="614" ht="12.75" customHeight="1" x14ac:dyDescent="0.35"/>
    <row r="615" ht="12.75" customHeight="1" x14ac:dyDescent="0.35"/>
    <row r="616" ht="12.75" customHeight="1" x14ac:dyDescent="0.35"/>
    <row r="617" ht="12.75" customHeight="1" x14ac:dyDescent="0.35"/>
    <row r="618" ht="12.75" customHeight="1" x14ac:dyDescent="0.35"/>
    <row r="619" ht="12.75" customHeight="1" x14ac:dyDescent="0.35"/>
    <row r="620" ht="12.75" customHeight="1" x14ac:dyDescent="0.35"/>
    <row r="621" ht="12.75" customHeight="1" x14ac:dyDescent="0.35"/>
    <row r="622" ht="12.75" customHeight="1" x14ac:dyDescent="0.35"/>
    <row r="623" ht="12.75" customHeight="1" x14ac:dyDescent="0.35"/>
    <row r="624" ht="12.75" customHeight="1" x14ac:dyDescent="0.35"/>
    <row r="625" ht="12.75" customHeight="1" x14ac:dyDescent="0.35"/>
    <row r="626" ht="12.75" customHeight="1" x14ac:dyDescent="0.35"/>
    <row r="627" ht="12.75" customHeight="1" x14ac:dyDescent="0.35"/>
    <row r="628" ht="12.75" customHeight="1" x14ac:dyDescent="0.35"/>
    <row r="629" ht="12.75" customHeight="1" x14ac:dyDescent="0.35"/>
    <row r="630" ht="12.75" customHeight="1" x14ac:dyDescent="0.35"/>
    <row r="631" ht="12.75" customHeight="1" x14ac:dyDescent="0.35"/>
    <row r="632" ht="12.75" customHeight="1" x14ac:dyDescent="0.35"/>
    <row r="633" ht="12.75" customHeight="1" x14ac:dyDescent="0.35"/>
    <row r="634" ht="12.75" customHeight="1" x14ac:dyDescent="0.35"/>
    <row r="635" ht="12.75" customHeight="1" x14ac:dyDescent="0.35"/>
    <row r="636" ht="12.75" customHeight="1" x14ac:dyDescent="0.35"/>
    <row r="637" ht="12.75" customHeight="1" x14ac:dyDescent="0.35"/>
    <row r="638" ht="12.75" customHeight="1" x14ac:dyDescent="0.35"/>
    <row r="639" ht="12.75" customHeight="1" x14ac:dyDescent="0.35"/>
    <row r="640" ht="12.75" customHeight="1" x14ac:dyDescent="0.35"/>
    <row r="641" ht="12.75" customHeight="1" x14ac:dyDescent="0.35"/>
    <row r="642" ht="12.75" customHeight="1" x14ac:dyDescent="0.35"/>
    <row r="643" ht="12.75" customHeight="1" x14ac:dyDescent="0.35"/>
    <row r="644" ht="12.75" customHeight="1" x14ac:dyDescent="0.35"/>
    <row r="645" ht="12.75" customHeight="1" x14ac:dyDescent="0.35"/>
    <row r="646" ht="12.75" customHeight="1" x14ac:dyDescent="0.35"/>
    <row r="647" ht="12.75" customHeight="1" x14ac:dyDescent="0.35"/>
    <row r="648" ht="12.75" customHeight="1" x14ac:dyDescent="0.35"/>
    <row r="649" ht="12.75" customHeight="1" x14ac:dyDescent="0.35"/>
    <row r="650" ht="12.75" customHeight="1" x14ac:dyDescent="0.35"/>
    <row r="651" ht="12.75" customHeight="1" x14ac:dyDescent="0.35"/>
    <row r="652" ht="12.75" customHeight="1" x14ac:dyDescent="0.35"/>
    <row r="653" ht="12.75" customHeight="1" x14ac:dyDescent="0.35"/>
    <row r="654" ht="12.75" customHeight="1" x14ac:dyDescent="0.35"/>
    <row r="655" ht="12.75" customHeight="1" x14ac:dyDescent="0.35"/>
    <row r="656" ht="12.75" customHeight="1" x14ac:dyDescent="0.35"/>
    <row r="657" ht="12.75" customHeight="1" x14ac:dyDescent="0.35"/>
    <row r="658" ht="12.75" customHeight="1" x14ac:dyDescent="0.35"/>
    <row r="659" ht="12.75" customHeight="1" x14ac:dyDescent="0.35"/>
    <row r="660" ht="12.75" customHeight="1" x14ac:dyDescent="0.35"/>
    <row r="661" ht="12.75" customHeight="1" x14ac:dyDescent="0.35"/>
    <row r="662" ht="12.75" customHeight="1" x14ac:dyDescent="0.35"/>
    <row r="663" ht="12.75" customHeight="1" x14ac:dyDescent="0.35"/>
    <row r="664" ht="12.75" customHeight="1" x14ac:dyDescent="0.35"/>
    <row r="665" ht="12.75" customHeight="1" x14ac:dyDescent="0.35"/>
    <row r="666" ht="12.75" customHeight="1" x14ac:dyDescent="0.35"/>
    <row r="667" ht="12.75" customHeight="1" x14ac:dyDescent="0.35"/>
    <row r="668" ht="12.75" customHeight="1" x14ac:dyDescent="0.35"/>
    <row r="669" ht="12.75" customHeight="1" x14ac:dyDescent="0.35"/>
    <row r="670" ht="12.75" customHeight="1" x14ac:dyDescent="0.35"/>
    <row r="671" ht="12.75" customHeight="1" x14ac:dyDescent="0.35"/>
    <row r="672" ht="12.75" customHeight="1" x14ac:dyDescent="0.35"/>
    <row r="673" ht="12.75" customHeight="1" x14ac:dyDescent="0.35"/>
    <row r="674" ht="12.75" customHeight="1" x14ac:dyDescent="0.35"/>
    <row r="675" ht="12.75" customHeight="1" x14ac:dyDescent="0.35"/>
    <row r="676" ht="12.75" customHeight="1" x14ac:dyDescent="0.35"/>
    <row r="677" ht="12.75" customHeight="1" x14ac:dyDescent="0.35"/>
    <row r="678" ht="12.75" customHeight="1" x14ac:dyDescent="0.35"/>
    <row r="679" ht="12.75" customHeight="1" x14ac:dyDescent="0.35"/>
    <row r="680" ht="12.75" customHeight="1" x14ac:dyDescent="0.35"/>
    <row r="681" ht="12.75" customHeight="1" x14ac:dyDescent="0.35"/>
    <row r="682" ht="12.75" customHeight="1" x14ac:dyDescent="0.35"/>
    <row r="683" ht="12.75" customHeight="1" x14ac:dyDescent="0.35"/>
    <row r="684" ht="12.75" customHeight="1" x14ac:dyDescent="0.35"/>
    <row r="685" ht="12.75" customHeight="1" x14ac:dyDescent="0.35"/>
    <row r="686" ht="12.75" customHeight="1" x14ac:dyDescent="0.35"/>
    <row r="687" ht="12.75" customHeight="1" x14ac:dyDescent="0.35"/>
    <row r="688" ht="12.75" customHeight="1" x14ac:dyDescent="0.35"/>
    <row r="689" ht="12.75" customHeight="1" x14ac:dyDescent="0.35"/>
    <row r="690" ht="12.75" customHeight="1" x14ac:dyDescent="0.35"/>
    <row r="691" ht="12.75" customHeight="1" x14ac:dyDescent="0.35"/>
    <row r="692" ht="12.75" customHeight="1" x14ac:dyDescent="0.35"/>
    <row r="693" ht="12.75" customHeight="1" x14ac:dyDescent="0.35"/>
    <row r="694" ht="12.75" customHeight="1" x14ac:dyDescent="0.35"/>
    <row r="695" ht="12.75" customHeight="1" x14ac:dyDescent="0.35"/>
    <row r="696" ht="12.75" customHeight="1" x14ac:dyDescent="0.35"/>
    <row r="697" ht="12.75" customHeight="1" x14ac:dyDescent="0.35"/>
    <row r="698" ht="12.75" customHeight="1" x14ac:dyDescent="0.35"/>
    <row r="699" ht="12.75" customHeight="1" x14ac:dyDescent="0.35"/>
    <row r="700" ht="12.75" customHeight="1" x14ac:dyDescent="0.35"/>
    <row r="701" ht="12.75" customHeight="1" x14ac:dyDescent="0.35"/>
    <row r="702" ht="12.75" customHeight="1" x14ac:dyDescent="0.35"/>
    <row r="703" ht="12.75" customHeight="1" x14ac:dyDescent="0.35"/>
    <row r="704" ht="12.75" customHeight="1" x14ac:dyDescent="0.35"/>
    <row r="705" ht="12.75" customHeight="1" x14ac:dyDescent="0.35"/>
    <row r="706" ht="12.75" customHeight="1" x14ac:dyDescent="0.35"/>
    <row r="707" ht="12.75" customHeight="1" x14ac:dyDescent="0.35"/>
    <row r="708" ht="12.75" customHeight="1" x14ac:dyDescent="0.35"/>
    <row r="709" ht="12.75" customHeight="1" x14ac:dyDescent="0.35"/>
    <row r="710" ht="12.75" customHeight="1" x14ac:dyDescent="0.35"/>
    <row r="711" ht="12.75" customHeight="1" x14ac:dyDescent="0.35"/>
    <row r="712" ht="12.75" customHeight="1" x14ac:dyDescent="0.35"/>
    <row r="713" ht="12.75" customHeight="1" x14ac:dyDescent="0.35"/>
    <row r="714" ht="12.75" customHeight="1" x14ac:dyDescent="0.35"/>
    <row r="715" ht="12.75" customHeight="1" x14ac:dyDescent="0.35"/>
    <row r="716" ht="12.75" customHeight="1" x14ac:dyDescent="0.35"/>
    <row r="717" ht="12.75" customHeight="1" x14ac:dyDescent="0.35"/>
    <row r="718" ht="12.75" customHeight="1" x14ac:dyDescent="0.35"/>
    <row r="719" ht="12.75" customHeight="1" x14ac:dyDescent="0.35"/>
    <row r="720" ht="12.75" customHeight="1" x14ac:dyDescent="0.35"/>
    <row r="721" ht="12.75" customHeight="1" x14ac:dyDescent="0.35"/>
    <row r="722" ht="12.75" customHeight="1" x14ac:dyDescent="0.35"/>
    <row r="723" ht="12.75" customHeight="1" x14ac:dyDescent="0.35"/>
    <row r="724" ht="12.75" customHeight="1" x14ac:dyDescent="0.35"/>
    <row r="725" ht="12.75" customHeight="1" x14ac:dyDescent="0.35"/>
    <row r="726" ht="12.75" customHeight="1" x14ac:dyDescent="0.35"/>
    <row r="727" ht="12.75" customHeight="1" x14ac:dyDescent="0.35"/>
    <row r="728" ht="12.75" customHeight="1" x14ac:dyDescent="0.35"/>
    <row r="729" ht="12.75" customHeight="1" x14ac:dyDescent="0.35"/>
    <row r="730" ht="12.75" customHeight="1" x14ac:dyDescent="0.35"/>
    <row r="731" ht="12.75" customHeight="1" x14ac:dyDescent="0.35"/>
    <row r="732" ht="12.75" customHeight="1" x14ac:dyDescent="0.35"/>
    <row r="733" ht="12.75" customHeight="1" x14ac:dyDescent="0.35"/>
    <row r="734" ht="12.75" customHeight="1" x14ac:dyDescent="0.35"/>
    <row r="735" ht="12.75" customHeight="1" x14ac:dyDescent="0.35"/>
    <row r="736" ht="12.75" customHeight="1" x14ac:dyDescent="0.35"/>
    <row r="737" ht="12.75" customHeight="1" x14ac:dyDescent="0.35"/>
    <row r="738" ht="12.75" customHeight="1" x14ac:dyDescent="0.35"/>
    <row r="739" ht="12.75" customHeight="1" x14ac:dyDescent="0.35"/>
    <row r="740" ht="12.75" customHeight="1" x14ac:dyDescent="0.35"/>
    <row r="741" ht="12.75" customHeight="1" x14ac:dyDescent="0.35"/>
    <row r="742" ht="12.75" customHeight="1" x14ac:dyDescent="0.35"/>
    <row r="743" ht="12.75" customHeight="1" x14ac:dyDescent="0.35"/>
    <row r="744" ht="12.75" customHeight="1" x14ac:dyDescent="0.35"/>
    <row r="745" ht="12.75" customHeight="1" x14ac:dyDescent="0.35"/>
    <row r="746" ht="12.75" customHeight="1" x14ac:dyDescent="0.35"/>
    <row r="747" ht="12.75" customHeight="1" x14ac:dyDescent="0.35"/>
    <row r="748" ht="12.75" customHeight="1" x14ac:dyDescent="0.35"/>
    <row r="749" ht="12.75" customHeight="1" x14ac:dyDescent="0.35"/>
    <row r="750" ht="12.75" customHeight="1" x14ac:dyDescent="0.35"/>
    <row r="751" ht="12.75" customHeight="1" x14ac:dyDescent="0.35"/>
    <row r="752" ht="12.75" customHeight="1" x14ac:dyDescent="0.35"/>
    <row r="753" ht="12.75" customHeight="1" x14ac:dyDescent="0.35"/>
    <row r="754" ht="12.75" customHeight="1" x14ac:dyDescent="0.35"/>
    <row r="755" ht="12.75" customHeight="1" x14ac:dyDescent="0.35"/>
    <row r="756" ht="12.75" customHeight="1" x14ac:dyDescent="0.35"/>
    <row r="757" ht="12.75" customHeight="1" x14ac:dyDescent="0.35"/>
    <row r="758" ht="12.75" customHeight="1" x14ac:dyDescent="0.35"/>
    <row r="759" ht="12.75" customHeight="1" x14ac:dyDescent="0.35"/>
    <row r="760" ht="12.75" customHeight="1" x14ac:dyDescent="0.35"/>
    <row r="761" ht="12.75" customHeight="1" x14ac:dyDescent="0.35"/>
    <row r="762" ht="12.75" customHeight="1" x14ac:dyDescent="0.35"/>
    <row r="763" ht="12.75" customHeight="1" x14ac:dyDescent="0.35"/>
    <row r="764" ht="12.75" customHeight="1" x14ac:dyDescent="0.35"/>
    <row r="765" ht="12.75" customHeight="1" x14ac:dyDescent="0.35"/>
    <row r="766" ht="12.75" customHeight="1" x14ac:dyDescent="0.35"/>
    <row r="767" ht="12.75" customHeight="1" x14ac:dyDescent="0.35"/>
    <row r="768" ht="12.75" customHeight="1" x14ac:dyDescent="0.35"/>
    <row r="769" ht="12.75" customHeight="1" x14ac:dyDescent="0.35"/>
    <row r="770" ht="12.75" customHeight="1" x14ac:dyDescent="0.35"/>
    <row r="771" ht="12.75" customHeight="1" x14ac:dyDescent="0.35"/>
    <row r="772" ht="12.75" customHeight="1" x14ac:dyDescent="0.35"/>
    <row r="773" ht="12.75" customHeight="1" x14ac:dyDescent="0.35"/>
    <row r="774" ht="12.75" customHeight="1" x14ac:dyDescent="0.35"/>
    <row r="775" ht="12.75" customHeight="1" x14ac:dyDescent="0.35"/>
    <row r="776" ht="12.75" customHeight="1" x14ac:dyDescent="0.35"/>
    <row r="777" ht="12.75" customHeight="1" x14ac:dyDescent="0.35"/>
    <row r="778" ht="12.75" customHeight="1" x14ac:dyDescent="0.35"/>
    <row r="779" ht="12.75" customHeight="1" x14ac:dyDescent="0.35"/>
    <row r="780" ht="12.75" customHeight="1" x14ac:dyDescent="0.35"/>
    <row r="781" ht="12.75" customHeight="1" x14ac:dyDescent="0.35"/>
    <row r="782" ht="12.75" customHeight="1" x14ac:dyDescent="0.35"/>
    <row r="783" ht="12.75" customHeight="1" x14ac:dyDescent="0.35"/>
    <row r="784" ht="12.75" customHeight="1" x14ac:dyDescent="0.35"/>
    <row r="785" ht="12.75" customHeight="1" x14ac:dyDescent="0.35"/>
    <row r="786" ht="12.75" customHeight="1" x14ac:dyDescent="0.35"/>
    <row r="787" ht="12.75" customHeight="1" x14ac:dyDescent="0.35"/>
    <row r="788" ht="12.75" customHeight="1" x14ac:dyDescent="0.35"/>
    <row r="789" ht="12.75" customHeight="1" x14ac:dyDescent="0.35"/>
    <row r="790" ht="12.75" customHeight="1" x14ac:dyDescent="0.35"/>
    <row r="791" ht="12.75" customHeight="1" x14ac:dyDescent="0.35"/>
    <row r="792" ht="12.75" customHeight="1" x14ac:dyDescent="0.35"/>
    <row r="793" ht="12.75" customHeight="1" x14ac:dyDescent="0.35"/>
    <row r="794" ht="12.75" customHeight="1" x14ac:dyDescent="0.35"/>
    <row r="795" ht="12.75" customHeight="1" x14ac:dyDescent="0.35"/>
    <row r="796" ht="12.75" customHeight="1" x14ac:dyDescent="0.35"/>
    <row r="797" ht="12.75" customHeight="1" x14ac:dyDescent="0.35"/>
    <row r="798" ht="12.75" customHeight="1" x14ac:dyDescent="0.35"/>
    <row r="799" ht="12.75" customHeight="1" x14ac:dyDescent="0.35"/>
    <row r="800" ht="12.75" customHeight="1" x14ac:dyDescent="0.35"/>
    <row r="801" ht="12.75" customHeight="1" x14ac:dyDescent="0.35"/>
    <row r="802" ht="12.75" customHeight="1" x14ac:dyDescent="0.35"/>
    <row r="803" ht="12.75" customHeight="1" x14ac:dyDescent="0.35"/>
    <row r="804" ht="12.75" customHeight="1" x14ac:dyDescent="0.35"/>
    <row r="805" ht="12.75" customHeight="1" x14ac:dyDescent="0.35"/>
    <row r="806" ht="12.75" customHeight="1" x14ac:dyDescent="0.35"/>
    <row r="807" ht="12.75" customHeight="1" x14ac:dyDescent="0.35"/>
    <row r="808" ht="12.75" customHeight="1" x14ac:dyDescent="0.35"/>
    <row r="809" ht="12.75" customHeight="1" x14ac:dyDescent="0.35"/>
    <row r="810" ht="12.75" customHeight="1" x14ac:dyDescent="0.35"/>
    <row r="811" ht="12.75" customHeight="1" x14ac:dyDescent="0.35"/>
    <row r="812" ht="12.75" customHeight="1" x14ac:dyDescent="0.35"/>
    <row r="813" ht="12.75" customHeight="1" x14ac:dyDescent="0.35"/>
    <row r="814" ht="12.75" customHeight="1" x14ac:dyDescent="0.35"/>
    <row r="815" ht="12.75" customHeight="1" x14ac:dyDescent="0.35"/>
    <row r="816" ht="12.75" customHeight="1" x14ac:dyDescent="0.35"/>
    <row r="817" ht="12.75" customHeight="1" x14ac:dyDescent="0.35"/>
    <row r="818" ht="12.75" customHeight="1" x14ac:dyDescent="0.35"/>
    <row r="819" ht="12.75" customHeight="1" x14ac:dyDescent="0.35"/>
    <row r="820" ht="12.75" customHeight="1" x14ac:dyDescent="0.35"/>
    <row r="821" ht="12.75" customHeight="1" x14ac:dyDescent="0.35"/>
    <row r="822" ht="12.75" customHeight="1" x14ac:dyDescent="0.35"/>
    <row r="823" ht="12.75" customHeight="1" x14ac:dyDescent="0.35"/>
    <row r="824" ht="12.75" customHeight="1" x14ac:dyDescent="0.35"/>
    <row r="825" ht="12.75" customHeight="1" x14ac:dyDescent="0.35"/>
    <row r="826" ht="12.75" customHeight="1" x14ac:dyDescent="0.35"/>
    <row r="827" ht="12.75" customHeight="1" x14ac:dyDescent="0.35"/>
    <row r="828" ht="12.75" customHeight="1" x14ac:dyDescent="0.35"/>
    <row r="829" ht="12.75" customHeight="1" x14ac:dyDescent="0.35"/>
    <row r="830" ht="12.75" customHeight="1" x14ac:dyDescent="0.35"/>
    <row r="831" ht="12.75" customHeight="1" x14ac:dyDescent="0.35"/>
    <row r="832" ht="12.75" customHeight="1" x14ac:dyDescent="0.35"/>
    <row r="833" ht="12.75" customHeight="1" x14ac:dyDescent="0.35"/>
    <row r="834" ht="12.75" customHeight="1" x14ac:dyDescent="0.35"/>
    <row r="835" ht="12.75" customHeight="1" x14ac:dyDescent="0.35"/>
    <row r="836" ht="12.75" customHeight="1" x14ac:dyDescent="0.35"/>
    <row r="837" ht="12.75" customHeight="1" x14ac:dyDescent="0.35"/>
    <row r="838" ht="12.75" customHeight="1" x14ac:dyDescent="0.35"/>
    <row r="839" ht="12.75" customHeight="1" x14ac:dyDescent="0.35"/>
    <row r="840" ht="12.75" customHeight="1" x14ac:dyDescent="0.35"/>
    <row r="841" ht="12.75" customHeight="1" x14ac:dyDescent="0.35"/>
    <row r="842" ht="12.75" customHeight="1" x14ac:dyDescent="0.35"/>
    <row r="843" ht="12.75" customHeight="1" x14ac:dyDescent="0.35"/>
    <row r="844" ht="12.75" customHeight="1" x14ac:dyDescent="0.35"/>
    <row r="845" ht="12.75" customHeight="1" x14ac:dyDescent="0.35"/>
    <row r="846" ht="12.75" customHeight="1" x14ac:dyDescent="0.35"/>
    <row r="847" ht="12.75" customHeight="1" x14ac:dyDescent="0.35"/>
    <row r="848" ht="12.75" customHeight="1" x14ac:dyDescent="0.35"/>
    <row r="849" ht="12.75" customHeight="1" x14ac:dyDescent="0.35"/>
    <row r="850" ht="12.75" customHeight="1" x14ac:dyDescent="0.35"/>
    <row r="851" ht="12.75" customHeight="1" x14ac:dyDescent="0.35"/>
    <row r="852" ht="12.75" customHeight="1" x14ac:dyDescent="0.35"/>
    <row r="853" ht="12.75" customHeight="1" x14ac:dyDescent="0.35"/>
    <row r="854" ht="12.75" customHeight="1" x14ac:dyDescent="0.35"/>
    <row r="855" ht="12.75" customHeight="1" x14ac:dyDescent="0.35"/>
    <row r="856" ht="12.75" customHeight="1" x14ac:dyDescent="0.35"/>
    <row r="857" ht="12.75" customHeight="1" x14ac:dyDescent="0.35"/>
    <row r="858" ht="12.75" customHeight="1" x14ac:dyDescent="0.35"/>
    <row r="859" ht="12.75" customHeight="1" x14ac:dyDescent="0.35"/>
    <row r="860" ht="12.75" customHeight="1" x14ac:dyDescent="0.35"/>
    <row r="861" ht="12.75" customHeight="1" x14ac:dyDescent="0.35"/>
    <row r="862" ht="12.75" customHeight="1" x14ac:dyDescent="0.35"/>
    <row r="863" ht="12.75" customHeight="1" x14ac:dyDescent="0.35"/>
    <row r="864" ht="12.75" customHeight="1" x14ac:dyDescent="0.35"/>
    <row r="865" ht="12.75" customHeight="1" x14ac:dyDescent="0.35"/>
    <row r="866" ht="12.75" customHeight="1" x14ac:dyDescent="0.35"/>
    <row r="867" ht="12.75" customHeight="1" x14ac:dyDescent="0.35"/>
    <row r="868" ht="12.75" customHeight="1" x14ac:dyDescent="0.35"/>
    <row r="869" ht="12.75" customHeight="1" x14ac:dyDescent="0.35"/>
    <row r="870" ht="12.75" customHeight="1" x14ac:dyDescent="0.35"/>
    <row r="871" ht="12.75" customHeight="1" x14ac:dyDescent="0.35"/>
    <row r="872" ht="12.75" customHeight="1" x14ac:dyDescent="0.35"/>
    <row r="873" ht="12.75" customHeight="1" x14ac:dyDescent="0.35"/>
    <row r="874" ht="12.75" customHeight="1" x14ac:dyDescent="0.35"/>
    <row r="875" ht="12.75" customHeight="1" x14ac:dyDescent="0.35"/>
    <row r="876" ht="12.75" customHeight="1" x14ac:dyDescent="0.35"/>
    <row r="877" ht="12.75" customHeight="1" x14ac:dyDescent="0.35"/>
    <row r="878" ht="12.75" customHeight="1" x14ac:dyDescent="0.35"/>
    <row r="879" ht="12.75" customHeight="1" x14ac:dyDescent="0.35"/>
    <row r="880" ht="12.75" customHeight="1" x14ac:dyDescent="0.35"/>
    <row r="881" ht="12.75" customHeight="1" x14ac:dyDescent="0.35"/>
    <row r="882" ht="12.75" customHeight="1" x14ac:dyDescent="0.35"/>
    <row r="883" ht="12.75" customHeight="1" x14ac:dyDescent="0.35"/>
    <row r="884" ht="12.75" customHeight="1" x14ac:dyDescent="0.35"/>
    <row r="885" ht="12.75" customHeight="1" x14ac:dyDescent="0.35"/>
    <row r="886" ht="12.75" customHeight="1" x14ac:dyDescent="0.35"/>
    <row r="887" ht="12.75" customHeight="1" x14ac:dyDescent="0.35"/>
    <row r="888" ht="12.75" customHeight="1" x14ac:dyDescent="0.35"/>
    <row r="889" ht="12.75" customHeight="1" x14ac:dyDescent="0.35"/>
    <row r="890" ht="12.75" customHeight="1" x14ac:dyDescent="0.35"/>
    <row r="891" ht="12.75" customHeight="1" x14ac:dyDescent="0.35"/>
    <row r="892" ht="12.75" customHeight="1" x14ac:dyDescent="0.35"/>
    <row r="893" ht="12.75" customHeight="1" x14ac:dyDescent="0.35"/>
    <row r="894" ht="12.75" customHeight="1" x14ac:dyDescent="0.35"/>
    <row r="895" ht="12.75" customHeight="1" x14ac:dyDescent="0.35"/>
    <row r="896" ht="12.75" customHeight="1" x14ac:dyDescent="0.35"/>
    <row r="897" ht="12.75" customHeight="1" x14ac:dyDescent="0.35"/>
    <row r="898" ht="12.75" customHeight="1" x14ac:dyDescent="0.35"/>
    <row r="899" ht="12.75" customHeight="1" x14ac:dyDescent="0.35"/>
    <row r="900" ht="12.75" customHeight="1" x14ac:dyDescent="0.35"/>
    <row r="901" ht="12.75" customHeight="1" x14ac:dyDescent="0.35"/>
    <row r="902" ht="12.75" customHeight="1" x14ac:dyDescent="0.35"/>
    <row r="903" ht="12.75" customHeight="1" x14ac:dyDescent="0.35"/>
    <row r="904" ht="12.75" customHeight="1" x14ac:dyDescent="0.35"/>
    <row r="905" ht="12.75" customHeight="1" x14ac:dyDescent="0.35"/>
    <row r="906" ht="12.75" customHeight="1" x14ac:dyDescent="0.35"/>
    <row r="907" ht="12.75" customHeight="1" x14ac:dyDescent="0.35"/>
    <row r="908" ht="12.75" customHeight="1" x14ac:dyDescent="0.35"/>
    <row r="909" ht="12.75" customHeight="1" x14ac:dyDescent="0.35"/>
    <row r="910" ht="12.75" customHeight="1" x14ac:dyDescent="0.35"/>
    <row r="911" ht="12.75" customHeight="1" x14ac:dyDescent="0.35"/>
    <row r="912" ht="12.75" customHeight="1" x14ac:dyDescent="0.35"/>
    <row r="913" ht="12.75" customHeight="1" x14ac:dyDescent="0.35"/>
    <row r="914" ht="12.75" customHeight="1" x14ac:dyDescent="0.35"/>
    <row r="915" ht="12.75" customHeight="1" x14ac:dyDescent="0.35"/>
    <row r="916" ht="12.75" customHeight="1" x14ac:dyDescent="0.35"/>
    <row r="917" ht="12.75" customHeight="1" x14ac:dyDescent="0.35"/>
    <row r="918" ht="12.75" customHeight="1" x14ac:dyDescent="0.35"/>
    <row r="919" ht="12.75" customHeight="1" x14ac:dyDescent="0.35"/>
    <row r="920" ht="12.75" customHeight="1" x14ac:dyDescent="0.35"/>
    <row r="921" ht="12.75" customHeight="1" x14ac:dyDescent="0.35"/>
    <row r="922" ht="12.75" customHeight="1" x14ac:dyDescent="0.35"/>
    <row r="923" ht="12.75" customHeight="1" x14ac:dyDescent="0.35"/>
    <row r="924" ht="12.75" customHeight="1" x14ac:dyDescent="0.35"/>
    <row r="925" ht="12.75" customHeight="1" x14ac:dyDescent="0.35"/>
    <row r="926" ht="12.75" customHeight="1" x14ac:dyDescent="0.35"/>
    <row r="927" ht="12.75" customHeight="1" x14ac:dyDescent="0.35"/>
    <row r="928" ht="12.75" customHeight="1" x14ac:dyDescent="0.35"/>
    <row r="929" ht="12.75" customHeight="1" x14ac:dyDescent="0.35"/>
    <row r="930" ht="12.75" customHeight="1" x14ac:dyDescent="0.35"/>
    <row r="931" ht="12.75" customHeight="1" x14ac:dyDescent="0.35"/>
    <row r="932" ht="12.75" customHeight="1" x14ac:dyDescent="0.35"/>
    <row r="933" ht="12.75" customHeight="1" x14ac:dyDescent="0.35"/>
    <row r="934" ht="12.75" customHeight="1" x14ac:dyDescent="0.35"/>
    <row r="935" ht="12.75" customHeight="1" x14ac:dyDescent="0.35"/>
    <row r="936" ht="12.75" customHeight="1" x14ac:dyDescent="0.35"/>
    <row r="937" ht="12.75" customHeight="1" x14ac:dyDescent="0.35"/>
    <row r="938" ht="12.75" customHeight="1" x14ac:dyDescent="0.35"/>
    <row r="939" ht="12.75" customHeight="1" x14ac:dyDescent="0.35"/>
    <row r="940" ht="12.75" customHeight="1" x14ac:dyDescent="0.35"/>
    <row r="941" ht="12.75" customHeight="1" x14ac:dyDescent="0.35"/>
    <row r="942" ht="12.75" customHeight="1" x14ac:dyDescent="0.35"/>
    <row r="943" ht="12.75" customHeight="1" x14ac:dyDescent="0.35"/>
    <row r="944" ht="12.75" customHeight="1" x14ac:dyDescent="0.35"/>
    <row r="945" ht="12.75" customHeight="1" x14ac:dyDescent="0.35"/>
    <row r="946" ht="12.75" customHeight="1" x14ac:dyDescent="0.35"/>
    <row r="947" ht="12.75" customHeight="1" x14ac:dyDescent="0.35"/>
    <row r="948" ht="12.75" customHeight="1" x14ac:dyDescent="0.35"/>
    <row r="949" ht="12.75" customHeight="1" x14ac:dyDescent="0.35"/>
    <row r="950" ht="12.75" customHeight="1" x14ac:dyDescent="0.35"/>
    <row r="951" ht="12.75" customHeight="1" x14ac:dyDescent="0.35"/>
    <row r="952" ht="12.75" customHeight="1" x14ac:dyDescent="0.35"/>
    <row r="953" ht="12.75" customHeight="1" x14ac:dyDescent="0.35"/>
    <row r="954" ht="12.75" customHeight="1" x14ac:dyDescent="0.35"/>
    <row r="955" ht="12.75" customHeight="1" x14ac:dyDescent="0.35"/>
    <row r="956" ht="12.75" customHeight="1" x14ac:dyDescent="0.35"/>
    <row r="957" ht="12.75" customHeight="1" x14ac:dyDescent="0.35"/>
    <row r="958" ht="12.75" customHeight="1" x14ac:dyDescent="0.35"/>
    <row r="959" ht="12.75" customHeight="1" x14ac:dyDescent="0.35"/>
    <row r="960" ht="12.75" customHeight="1" x14ac:dyDescent="0.35"/>
    <row r="961" ht="12.75" customHeight="1" x14ac:dyDescent="0.35"/>
    <row r="962" ht="12.75" customHeight="1" x14ac:dyDescent="0.35"/>
    <row r="963" ht="12.75" customHeight="1" x14ac:dyDescent="0.35"/>
    <row r="964" ht="12.75" customHeight="1" x14ac:dyDescent="0.35"/>
    <row r="965" ht="12.75" customHeight="1" x14ac:dyDescent="0.35"/>
    <row r="966" ht="12.75" customHeight="1" x14ac:dyDescent="0.35"/>
    <row r="967" ht="12.75" customHeight="1" x14ac:dyDescent="0.35"/>
    <row r="968" ht="12.75" customHeight="1" x14ac:dyDescent="0.35"/>
    <row r="969" ht="12.75" customHeight="1" x14ac:dyDescent="0.35"/>
    <row r="970" ht="12.75" customHeight="1" x14ac:dyDescent="0.35"/>
    <row r="971" ht="12.75" customHeight="1" x14ac:dyDescent="0.35"/>
    <row r="972" ht="12.75" customHeight="1" x14ac:dyDescent="0.35"/>
    <row r="973" ht="12.75" customHeight="1" x14ac:dyDescent="0.35"/>
    <row r="974" ht="12.75" customHeight="1" x14ac:dyDescent="0.35"/>
    <row r="975" ht="12.75" customHeight="1" x14ac:dyDescent="0.35"/>
    <row r="976" ht="12.75" customHeight="1" x14ac:dyDescent="0.35"/>
    <row r="977" ht="12.75" customHeight="1" x14ac:dyDescent="0.35"/>
    <row r="978" ht="12.75" customHeight="1" x14ac:dyDescent="0.35"/>
    <row r="979" ht="12.75" customHeight="1" x14ac:dyDescent="0.35"/>
    <row r="980" ht="12.75" customHeight="1" x14ac:dyDescent="0.35"/>
    <row r="981" ht="12.75" customHeight="1" x14ac:dyDescent="0.35"/>
    <row r="982" ht="12.75" customHeight="1" x14ac:dyDescent="0.35"/>
    <row r="983" ht="12.75" customHeight="1" x14ac:dyDescent="0.35"/>
    <row r="984" ht="12.75" customHeight="1" x14ac:dyDescent="0.35"/>
    <row r="985" ht="12.75" customHeight="1" x14ac:dyDescent="0.35"/>
    <row r="986" ht="12.75" customHeight="1" x14ac:dyDescent="0.35"/>
    <row r="987" ht="12.75" customHeight="1" x14ac:dyDescent="0.35"/>
    <row r="988" ht="12.75" customHeight="1" x14ac:dyDescent="0.35"/>
    <row r="989" ht="12.75" customHeight="1" x14ac:dyDescent="0.35"/>
    <row r="990" ht="12.75" customHeight="1" x14ac:dyDescent="0.35"/>
    <row r="991" ht="12.75" customHeight="1" x14ac:dyDescent="0.35"/>
    <row r="992" ht="12.75" customHeight="1" x14ac:dyDescent="0.35"/>
    <row r="993" ht="12.75" customHeight="1" x14ac:dyDescent="0.35"/>
    <row r="994" ht="12.75" customHeight="1" x14ac:dyDescent="0.35"/>
    <row r="995" ht="12.75" customHeight="1" x14ac:dyDescent="0.35"/>
    <row r="996" ht="12.75" customHeight="1" x14ac:dyDescent="0.35"/>
    <row r="997" ht="12.75" customHeight="1" x14ac:dyDescent="0.35"/>
    <row r="998" ht="12.75" customHeight="1" x14ac:dyDescent="0.35"/>
    <row r="999" ht="12.75" customHeight="1" x14ac:dyDescent="0.35"/>
    <row r="1000" ht="12.75" customHeight="1" x14ac:dyDescent="0.3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Data</vt:lpstr>
      <vt:lpstr>Service</vt:lpstr>
      <vt:lpstr>Dashboard_</vt:lpstr>
      <vt:lpstr>Metadata - Countries</vt:lpstr>
      <vt:lpstr>Metadata - Indicators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Abdelaziz MTIMET</dc:creator>
  <cp:lastModifiedBy>Abdelaziz MTIMET</cp:lastModifiedBy>
  <dcterms:created xsi:type="dcterms:W3CDTF">2022-01-15T14:50:35Z</dcterms:created>
  <dcterms:modified xsi:type="dcterms:W3CDTF">2022-01-15T14:50:42Z</dcterms:modified>
</cp:coreProperties>
</file>